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815" activeTab="0"/>
  </bookViews>
  <sheets>
    <sheet name="מושלם לבית " sheetId="1" r:id="rId1"/>
    <sheet name="בסיס דירה" sheetId="2" state="hidden" r:id="rId2"/>
  </sheets>
  <definedNames>
    <definedName name="_xlnm.Print_Area" localSheetId="1">'בסיס דירה'!$A$2:$J$54</definedName>
    <definedName name="_xlnm.Print_Area" localSheetId="0">'מושלם לבית '!$A$1:$D$34</definedName>
  </definedNames>
  <calcPr fullCalcOnLoad="1"/>
</workbook>
</file>

<file path=xl/comments1.xml><?xml version="1.0" encoding="utf-8"?>
<comments xmlns="http://schemas.openxmlformats.org/spreadsheetml/2006/main">
  <authors>
    <author>yosi</author>
    <author>user</author>
  </authors>
  <commentList>
    <comment ref="C30" authorId="0">
      <text>
        <r>
          <rPr>
            <b/>
            <sz val="8"/>
            <rFont val="Tahoma"/>
            <family val="2"/>
          </rPr>
          <t xml:space="preserve">הנחת חתם בחברה (עד 30%), תנתן בכפוף לשימוש בהנחה משותפת בשיעור של 10% ע"ח הפחתה בעמלה של 2.5% ובכפוף לעבר ביטוחי נקי 3 שנים. </t>
        </r>
      </text>
    </comment>
    <comment ref="C28" authorId="0">
      <text>
        <r>
          <rPr>
            <b/>
            <sz val="8"/>
            <rFont val="Tahoma"/>
            <family val="2"/>
          </rPr>
          <t>מותנה בהצגת פוליסת דירה המסתיימת של הסוכן.
תנתן הנחת חתם בחברה  (עד 30%) בכפוף בשימוש בהנחה משותפת בשיעור של 20% .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מתקן פוטו וולטאי (מערכת סולארית ביתית) - 
 עד לסך 60% מערך המבנה 
 אך לא יותר מ 350,000 ש"ח 
 ובכפוף להנחיות החברה </t>
        </r>
      </text>
    </comment>
    <comment ref="C23" authorId="1">
      <text>
        <r>
          <rPr>
            <b/>
            <sz val="8"/>
            <rFont val="Tahoma"/>
            <family val="2"/>
          </rPr>
          <t>אופניים לשימוש פרטי בלבד:
• עד 2,500 ₪ - כיסוי ללא תשלום.
• מעל 2,500 ש"ח בתוספת פרמיה.</t>
        </r>
      </text>
    </comment>
    <comment ref="C24" authorId="1">
      <text>
        <r>
          <rPr>
            <b/>
            <sz val="8"/>
            <rFont val="Tahoma"/>
            <family val="2"/>
          </rPr>
          <t>הרחבת שבר: 
טלוויזיות, פלזמות, LCD, LED  ומקרן</t>
        </r>
        <r>
          <rPr>
            <sz val="8"/>
            <rFont val="Tahoma"/>
            <family val="2"/>
          </rPr>
          <t xml:space="preserve">
• עד 10,000 ₪ - כיסוי ללא תשלום.
• מעל 10,000 ₪ בתוספת פרמיה .</t>
        </r>
      </text>
    </comment>
    <comment ref="C18" authorId="1">
      <text>
        <r>
          <rPr>
            <b/>
            <sz val="8"/>
            <rFont val="Tahoma"/>
            <family val="2"/>
          </rPr>
          <t>בפוליסה הכוללת כיסוי תכולה ו/או מבנה עם כיסוי רעידת אדמה:
הגדלת גבולות אחריות ב- עד 750,000 ש"ח נוספים ועד גבול אחריות מקסימלי של 1,500,000 ש"ח.</t>
        </r>
      </text>
    </comment>
    <comment ref="C17" authorId="1">
      <text>
        <r>
          <rPr>
            <b/>
            <sz val="8"/>
            <rFont val="Tahoma"/>
            <family val="2"/>
          </rPr>
          <t>בפוליסה הכוללת כיסוי תכולה ו/או מבנה עם כיסוי רעידת אדמה:
כיסוי אוטומטי - גבול אחריות צד ג' 750,000 ש"ח או סכום ביטוח התכולה, הגבוה מבניהם ועד למקסימום של 1,500,000 ש"ח.
פוליסה הכוללת כיסוי מבנה בלבד וללא כיסוי רעידת אדמה:
כיסוי תמורת פרמיה - גבול אחריות צד ג' 750,000 ש"ח ללא אפשרות הגדלה.</t>
        </r>
      </text>
    </comment>
    <comment ref="C19" authorId="1">
      <text>
        <r>
          <rPr>
            <b/>
            <sz val="8"/>
            <rFont val="Tahoma"/>
            <family val="2"/>
          </rPr>
          <t>כיסוי לערך הקרקע – 
הפרמיה תחושב כאחוז מסכום ביטוח ועד לסכום ביטוח מקסימלי של 200% מערך המבנה.</t>
        </r>
      </text>
    </comment>
    <comment ref="C9" authorId="1">
      <text>
        <r>
          <rPr>
            <b/>
            <sz val="8"/>
            <rFont val="Tahoma"/>
            <family val="2"/>
          </rPr>
          <t>תכשיטים:
חשוב לציין את סכום כיסוי התכשיטים המלא.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<sst xmlns="http://schemas.openxmlformats.org/spreadsheetml/2006/main" count="137" uniqueCount="83">
  <si>
    <t>מבנה</t>
  </si>
  <si>
    <t>נזקי מים</t>
  </si>
  <si>
    <t>תכולה</t>
  </si>
  <si>
    <t>הנחה מיוחדת</t>
  </si>
  <si>
    <t>קומת בניים</t>
  </si>
  <si>
    <t>הנחה תכולה ר"א</t>
  </si>
  <si>
    <t>בניים</t>
  </si>
  <si>
    <t>הנחת תכולה סכום ביטוח תכשיטים</t>
  </si>
  <si>
    <t>ר"א</t>
  </si>
  <si>
    <t>הנחת ר"א</t>
  </si>
  <si>
    <t>השלמה לפרמיה מינימום</t>
  </si>
  <si>
    <t>הנחת תכולה בניין קומות</t>
  </si>
  <si>
    <t>קרקע</t>
  </si>
  <si>
    <t>קומה עליונה</t>
  </si>
  <si>
    <t>כולל ר"א</t>
  </si>
  <si>
    <t>ללא ר"א</t>
  </si>
  <si>
    <t>פרמיה מינימום</t>
  </si>
  <si>
    <t>צד ג</t>
  </si>
  <si>
    <t>הנחת סכום ביטוח תכשיטים</t>
  </si>
  <si>
    <t>רעידת אדמה</t>
  </si>
  <si>
    <t>הנחה מיוחדת על חשבון עמלה</t>
  </si>
  <si>
    <t>הנחת חברה</t>
  </si>
  <si>
    <t>פרמית מינימום</t>
  </si>
  <si>
    <t>מבנה ותכולה</t>
  </si>
  <si>
    <t>צד ג'</t>
  </si>
  <si>
    <t>קומה</t>
  </si>
  <si>
    <t>כן</t>
  </si>
  <si>
    <t>לא</t>
  </si>
  <si>
    <t>תכשיטים מעל 15%</t>
  </si>
  <si>
    <t>אופניים</t>
  </si>
  <si>
    <t>שרברב פרטי</t>
  </si>
  <si>
    <t>ערך קרקע</t>
  </si>
  <si>
    <t>ה. עצמית 10%</t>
  </si>
  <si>
    <t>ה. עצמית 15%</t>
  </si>
  <si>
    <t>ה. עצמית 25%</t>
  </si>
  <si>
    <t>ה. עצמית 35%</t>
  </si>
  <si>
    <t>ה. עצמית רגילה</t>
  </si>
  <si>
    <t>הגדלת ה. עצמית תמורת הנחה</t>
  </si>
  <si>
    <t>הגדלת צד ג'</t>
  </si>
  <si>
    <t>מצלמה</t>
  </si>
  <si>
    <t>מחשב נייד</t>
  </si>
  <si>
    <t>חפצי אומנות</t>
  </si>
  <si>
    <t>קיטום הנחות</t>
  </si>
  <si>
    <t>רגיל</t>
  </si>
  <si>
    <r>
      <t xml:space="preserve">תכשיטים  - </t>
    </r>
    <r>
      <rPr>
        <b/>
        <sz val="9"/>
        <color indexed="16"/>
        <rFont val="Arial"/>
        <family val="2"/>
      </rPr>
      <t>(יש לרשום סכום מלא)</t>
    </r>
  </si>
  <si>
    <t>תכשיטים</t>
  </si>
  <si>
    <t>חריגה מהנחת אקסס</t>
  </si>
  <si>
    <t>סך הנחת אקסס</t>
  </si>
  <si>
    <t>אקסס</t>
  </si>
  <si>
    <t>השלמה</t>
  </si>
  <si>
    <t>הנחה מבנה ר"א</t>
  </si>
  <si>
    <t>ללא ערך קרקע</t>
  </si>
  <si>
    <t>מינ'</t>
  </si>
  <si>
    <t>מקס'</t>
  </si>
  <si>
    <t>מתקן פוטו וולטאי</t>
  </si>
  <si>
    <t>ללא כיסוי</t>
  </si>
  <si>
    <t>מתקן פוטו וולטאי (ס"ב)</t>
  </si>
  <si>
    <t>נזקי מים - פמי פרמיום</t>
  </si>
  <si>
    <t>סכום תכשיטים מעל 15%</t>
  </si>
  <si>
    <t>הרחבת שבר - טלויזיות</t>
  </si>
  <si>
    <r>
      <t xml:space="preserve">טלויזיה - ה. שבר </t>
    </r>
    <r>
      <rPr>
        <sz val="8"/>
        <rFont val="Arial"/>
        <family val="2"/>
      </rPr>
      <t>(מעל ס"ב 10,000)</t>
    </r>
  </si>
  <si>
    <r>
      <t xml:space="preserve">אופניים </t>
    </r>
    <r>
      <rPr>
        <sz val="8"/>
        <rFont val="Arial"/>
        <family val="2"/>
      </rPr>
      <t>(מעל ס"ב 2,500)</t>
    </r>
  </si>
  <si>
    <t>מסלול מצומצם - פמי פרמיום</t>
  </si>
  <si>
    <t>פמי פרמיום - חשמל</t>
  </si>
  <si>
    <t>מסלול מורחב</t>
  </si>
  <si>
    <t>מסלול מורחב - פמי פרמיום</t>
  </si>
  <si>
    <t>מסלול מצומצם</t>
  </si>
  <si>
    <t>ק. ביניים</t>
  </si>
  <si>
    <t>שאר המבוטחים</t>
  </si>
  <si>
    <t>הרחבת כל הסיכונים למבנה ולתכולה</t>
  </si>
  <si>
    <t>הרחבת כל הסיכונים למבנה</t>
  </si>
  <si>
    <t>הרחבת כל הסיכונים לתכולה</t>
  </si>
  <si>
    <t>כלי נגינה</t>
  </si>
  <si>
    <t>ביניים</t>
  </si>
  <si>
    <t>הרחבות כה"ס</t>
  </si>
  <si>
    <t xml:space="preserve">הגדלת צד ג' </t>
  </si>
  <si>
    <t>תעריף מגדל עד הגג</t>
  </si>
  <si>
    <t>ה. משותפת ע"ח עמלה</t>
  </si>
  <si>
    <t>ט.ל.ח</t>
  </si>
  <si>
    <r>
      <t xml:space="preserve">פרמיה </t>
    </r>
    <r>
      <rPr>
        <sz val="8"/>
        <rFont val="Arial"/>
        <family val="2"/>
      </rPr>
      <t>(שנתית)</t>
    </r>
  </si>
  <si>
    <t>הנחת חתם בחברה</t>
  </si>
  <si>
    <t>חודש 12/2013</t>
  </si>
  <si>
    <t>דירה ללא תביעות 3 שנים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</si>
</sst>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* #,##0.0_ ;_ * \-#,##0.0_ ;_ * &quot;-&quot;??_ ;_ @_ "/>
    <numFmt numFmtId="170" formatCode="_ * #,##0_ ;_ * \-#,##0_ ;_ * &quot;-&quot;??_ ;_ @_ "/>
    <numFmt numFmtId="171" formatCode="[$-40D]dddd\ dd\ mmmm\ yyyy"/>
    <numFmt numFmtId="172" formatCode="0.000"/>
    <numFmt numFmtId="173" formatCode="0.0%"/>
    <numFmt numFmtId="174" formatCode="0.000%"/>
    <numFmt numFmtId="175" formatCode="&quot;₪&quot;\ #,##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41" fontId="0" fillId="0" borderId="0" applyFont="0" applyFill="0" applyBorder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Fill="1" applyBorder="1" applyAlignment="1">
      <alignment/>
    </xf>
    <xf numFmtId="9" fontId="0" fillId="34" borderId="12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3" fillId="0" borderId="11" xfId="0" applyFont="1" applyFill="1" applyBorder="1" applyAlignment="1">
      <alignment/>
    </xf>
    <xf numFmtId="9" fontId="0" fillId="0" borderId="0" xfId="35" applyFont="1" applyAlignment="1">
      <alignment/>
    </xf>
    <xf numFmtId="9" fontId="0" fillId="35" borderId="12" xfId="0" applyNumberFormat="1" applyFill="1" applyBorder="1" applyAlignment="1">
      <alignment/>
    </xf>
    <xf numFmtId="175" fontId="0" fillId="34" borderId="12" xfId="0" applyNumberFormat="1" applyFill="1" applyBorder="1" applyAlignment="1">
      <alignment/>
    </xf>
    <xf numFmtId="175" fontId="0" fillId="35" borderId="18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10" fillId="0" borderId="0" xfId="35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70" fontId="0" fillId="0" borderId="0" xfId="33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Alignment="1">
      <alignment horizontal="right" readingOrder="2"/>
    </xf>
    <xf numFmtId="3" fontId="0" fillId="33" borderId="12" xfId="0" applyNumberFormat="1" applyFill="1" applyBorder="1" applyAlignment="1">
      <alignment/>
    </xf>
    <xf numFmtId="0" fontId="0" fillId="0" borderId="0" xfId="0" applyFont="1" applyAlignment="1">
      <alignment/>
    </xf>
    <xf numFmtId="43" fontId="0" fillId="0" borderId="0" xfId="33" applyFont="1" applyAlignment="1">
      <alignment/>
    </xf>
    <xf numFmtId="170" fontId="0" fillId="0" borderId="0" xfId="33" applyNumberFormat="1" applyFont="1" applyAlignment="1">
      <alignment/>
    </xf>
    <xf numFmtId="0" fontId="0" fillId="0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Font="1" applyBorder="1" applyAlignment="1">
      <alignment/>
    </xf>
    <xf numFmtId="10" fontId="0" fillId="36" borderId="0" xfId="0" applyNumberFormat="1" applyFill="1" applyAlignment="1">
      <alignment/>
    </xf>
    <xf numFmtId="9" fontId="0" fillId="36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4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9" fontId="1" fillId="0" borderId="0" xfId="35" applyFont="1" applyFill="1" applyBorder="1" applyAlignment="1">
      <alignment/>
    </xf>
    <xf numFmtId="175" fontId="8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9" fontId="0" fillId="35" borderId="12" xfId="33" applyNumberFormat="1" applyFont="1" applyFill="1" applyBorder="1" applyAlignment="1">
      <alignment/>
    </xf>
    <xf numFmtId="170" fontId="0" fillId="13" borderId="0" xfId="33" applyNumberFormat="1" applyFont="1" applyFill="1" applyAlignment="1">
      <alignment/>
    </xf>
    <xf numFmtId="0" fontId="0" fillId="13" borderId="0" xfId="0" applyFill="1" applyAlignment="1">
      <alignment/>
    </xf>
    <xf numFmtId="1" fontId="0" fillId="36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" fontId="0" fillId="11" borderId="0" xfId="0" applyNumberFormat="1" applyFill="1" applyAlignment="1">
      <alignment/>
    </xf>
    <xf numFmtId="1" fontId="0" fillId="0" borderId="0" xfId="0" applyNumberFormat="1" applyFont="1" applyAlignment="1">
      <alignment/>
    </xf>
    <xf numFmtId="3" fontId="0" fillId="35" borderId="12" xfId="33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5" fontId="0" fillId="0" borderId="11" xfId="0" applyNumberFormat="1" applyFill="1" applyBorder="1" applyAlignment="1">
      <alignment/>
    </xf>
    <xf numFmtId="0" fontId="0" fillId="0" borderId="23" xfId="0" applyFont="1" applyBorder="1" applyAlignment="1">
      <alignment/>
    </xf>
    <xf numFmtId="0" fontId="0" fillId="34" borderId="12" xfId="0" applyFont="1" applyFill="1" applyBorder="1" applyAlignment="1">
      <alignment/>
    </xf>
    <xf numFmtId="9" fontId="0" fillId="34" borderId="12" xfId="35" applyFont="1" applyFill="1" applyBorder="1" applyAlignment="1">
      <alignment/>
    </xf>
    <xf numFmtId="9" fontId="0" fillId="34" borderId="12" xfId="0" applyNumberFormat="1" applyFont="1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"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161925</xdr:rowOff>
    </xdr:from>
    <xdr:to>
      <xdr:col>12</xdr:col>
      <xdr:colOff>295275</xdr:colOff>
      <xdr:row>44</xdr:row>
      <xdr:rowOff>142875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49815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1:K120"/>
  <sheetViews>
    <sheetView showGridLines="0"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1.8515625" style="0" bestFit="1" customWidth="1"/>
    <col min="3" max="3" width="16.140625" style="0" bestFit="1" customWidth="1"/>
    <col min="9" max="9" width="6.28125" style="0" customWidth="1"/>
  </cols>
  <sheetData>
    <row r="1" spans="3:5" ht="12.75">
      <c r="C1" s="91">
        <f ca="1">NOW()</f>
        <v>41590.70891458333</v>
      </c>
      <c r="D1" s="91"/>
      <c r="E1" s="29"/>
    </row>
    <row r="2" ht="13.5" thickBot="1"/>
    <row r="3" spans="1:11" ht="15.75">
      <c r="A3" s="86" t="s">
        <v>76</v>
      </c>
      <c r="B3" s="87"/>
      <c r="C3" s="88"/>
      <c r="K3" s="5"/>
    </row>
    <row r="4" spans="1:7" ht="12.75">
      <c r="A4" s="22" t="str">
        <f>CONCATENATE("נכון ל",B37)</f>
        <v>נכון לחודש 12/2013</v>
      </c>
      <c r="B4" s="17"/>
      <c r="C4" s="19"/>
      <c r="G4" s="43"/>
    </row>
    <row r="5" spans="1:6" ht="12.75">
      <c r="A5" s="16" t="s">
        <v>0</v>
      </c>
      <c r="B5" s="17"/>
      <c r="C5" s="25">
        <v>1000000</v>
      </c>
      <c r="F5" s="43"/>
    </row>
    <row r="6" spans="1:6" ht="12.75">
      <c r="A6" s="16" t="s">
        <v>2</v>
      </c>
      <c r="B6" s="17"/>
      <c r="C6" s="25">
        <v>300000</v>
      </c>
      <c r="F6" s="43"/>
    </row>
    <row r="7" spans="1:6" ht="12.75">
      <c r="A7" s="16" t="s">
        <v>25</v>
      </c>
      <c r="B7" s="17"/>
      <c r="C7" s="83" t="s">
        <v>73</v>
      </c>
      <c r="F7" s="43"/>
    </row>
    <row r="8" spans="1:6" ht="12.75">
      <c r="A8" s="16"/>
      <c r="B8" s="17"/>
      <c r="C8" s="19"/>
      <c r="F8" s="43"/>
    </row>
    <row r="9" spans="1:6" ht="12.75">
      <c r="A9" s="16" t="s">
        <v>44</v>
      </c>
      <c r="B9" s="17"/>
      <c r="C9" s="25">
        <v>40000</v>
      </c>
      <c r="F9" s="43"/>
    </row>
    <row r="10" spans="1:6" ht="12.75">
      <c r="A10" s="66" t="s">
        <v>28</v>
      </c>
      <c r="B10" s="21"/>
      <c r="C10" s="26">
        <f>'בסיס דירה'!D42</f>
        <v>0</v>
      </c>
      <c r="F10" s="43"/>
    </row>
    <row r="11" spans="1:6" ht="12.75">
      <c r="A11" s="16" t="s">
        <v>18</v>
      </c>
      <c r="B11" s="17"/>
      <c r="C11" s="24">
        <f>IF(C9&lt;60001,0.45,IF(C9&lt;120001,0.3,0.2))</f>
        <v>0.45</v>
      </c>
      <c r="F11" s="43"/>
    </row>
    <row r="12" spans="1:6" ht="12.75">
      <c r="A12" s="16"/>
      <c r="B12" s="17"/>
      <c r="C12" s="19"/>
      <c r="F12" s="43"/>
    </row>
    <row r="13" spans="1:6" ht="12.75" customHeight="1" hidden="1">
      <c r="A13" s="16" t="s">
        <v>69</v>
      </c>
      <c r="B13" s="17"/>
      <c r="C13" s="18" t="s">
        <v>27</v>
      </c>
      <c r="F13" s="43"/>
    </row>
    <row r="14" spans="1:6" ht="12.75">
      <c r="A14" s="16" t="s">
        <v>19</v>
      </c>
      <c r="B14" s="17"/>
      <c r="C14" s="83" t="s">
        <v>26</v>
      </c>
      <c r="F14" s="43"/>
    </row>
    <row r="15" spans="1:6" ht="12.75">
      <c r="A15" s="68" t="s">
        <v>57</v>
      </c>
      <c r="B15" s="17"/>
      <c r="C15" s="83" t="s">
        <v>26</v>
      </c>
      <c r="F15" s="43"/>
    </row>
    <row r="16" spans="1:6" ht="12.75">
      <c r="A16" s="56" t="s">
        <v>63</v>
      </c>
      <c r="B16" s="17"/>
      <c r="C16" s="83" t="s">
        <v>27</v>
      </c>
      <c r="F16" s="43"/>
    </row>
    <row r="17" spans="1:6" ht="12.75">
      <c r="A17" s="69" t="s">
        <v>24</v>
      </c>
      <c r="B17" s="83" t="s">
        <v>26</v>
      </c>
      <c r="C17" s="70" t="str">
        <f>IF(AND(C6=0,C5&gt;0,C14=A70),IF(B17=A69,"כיסוי תמורת פרמיה","ללא כיסוי"),"יש כיסוי")</f>
        <v>יש כיסוי</v>
      </c>
      <c r="D17" s="27"/>
      <c r="F17" s="43"/>
    </row>
    <row r="18" spans="1:6" ht="12.75">
      <c r="A18" s="69" t="s">
        <v>75</v>
      </c>
      <c r="B18" s="83" t="s">
        <v>27</v>
      </c>
      <c r="C18" s="70" t="str">
        <f>IF(B18=A69,IF(AND(C6=0,C5&gt;0,C14=A70),"ללא כיסוי","כיסוי תמורת פרמיה"),"ללא כיסוי")</f>
        <v>ללא כיסוי</v>
      </c>
      <c r="D18" s="27"/>
      <c r="F18" s="43"/>
    </row>
    <row r="19" spans="1:6" ht="12.75">
      <c r="A19" s="16" t="s">
        <v>31</v>
      </c>
      <c r="B19" s="84" t="s">
        <v>51</v>
      </c>
      <c r="C19" s="70" t="str">
        <f>IF(C5=0,$B$110,IF(OR(C14=A70,C7=A65),B110,B19))</f>
        <v>ללא ערך קרקע</v>
      </c>
      <c r="D19" s="27"/>
      <c r="F19" s="43"/>
    </row>
    <row r="20" spans="1:6" ht="12.75">
      <c r="A20" s="54" t="s">
        <v>56</v>
      </c>
      <c r="B20" s="85" t="s">
        <v>55</v>
      </c>
      <c r="C20" s="78">
        <f>IF(C5=0,$B$110,IF(B20=0,VLOOKUP(B20,$A$110:$B$116,2,0),MIN(350000,VLOOKUP(B20,$A$110:$C$116,3,0)*'בסיס דירה'!$B$4)))</f>
        <v>0</v>
      </c>
      <c r="D20" s="27"/>
      <c r="F20" s="43"/>
    </row>
    <row r="21" spans="1:6" ht="12.75" hidden="1">
      <c r="A21" s="16" t="s">
        <v>37</v>
      </c>
      <c r="B21" s="17"/>
      <c r="C21" s="18" t="s">
        <v>36</v>
      </c>
      <c r="F21" s="43"/>
    </row>
    <row r="22" spans="1:6" ht="12.75">
      <c r="A22" s="39" t="s">
        <v>74</v>
      </c>
      <c r="B22" s="17"/>
      <c r="C22" s="19"/>
      <c r="F22" s="43"/>
    </row>
    <row r="23" spans="1:6" ht="12.75">
      <c r="A23" s="54" t="s">
        <v>61</v>
      </c>
      <c r="B23" s="17"/>
      <c r="C23" s="25">
        <v>0</v>
      </c>
      <c r="F23" s="43"/>
    </row>
    <row r="24" spans="1:6" ht="12.75">
      <c r="A24" s="54" t="s">
        <v>60</v>
      </c>
      <c r="B24" s="17"/>
      <c r="C24" s="25">
        <v>0</v>
      </c>
      <c r="F24" s="43"/>
    </row>
    <row r="25" spans="1:6" ht="12.75">
      <c r="A25" s="40" t="s">
        <v>39</v>
      </c>
      <c r="B25" s="64">
        <f>VLOOKUP(A25,$A$85:$B$89,2,0)</f>
        <v>0.05</v>
      </c>
      <c r="C25" s="25">
        <v>0</v>
      </c>
      <c r="F25" s="43"/>
    </row>
    <row r="26" spans="1:6" ht="12.75">
      <c r="A26" s="40" t="s">
        <v>41</v>
      </c>
      <c r="B26" s="64">
        <f>VLOOKUP(A26,$A$85:$B$89,2,0)</f>
        <v>0.01</v>
      </c>
      <c r="C26" s="25">
        <v>0</v>
      </c>
      <c r="F26" s="43"/>
    </row>
    <row r="27" spans="1:6" ht="12.75">
      <c r="A27" s="16"/>
      <c r="B27" s="17"/>
      <c r="C27" s="19"/>
      <c r="F27" s="43"/>
    </row>
    <row r="28" spans="1:6" ht="12.75">
      <c r="A28" s="93" t="s">
        <v>82</v>
      </c>
      <c r="B28" s="17"/>
      <c r="C28" s="18" t="s">
        <v>26</v>
      </c>
      <c r="F28" s="43"/>
    </row>
    <row r="29" spans="1:6" ht="12.75">
      <c r="A29" s="66" t="s">
        <v>77</v>
      </c>
      <c r="B29" s="31">
        <f>VLOOKUP(C29,A91:B93,2,0)</f>
        <v>0.05</v>
      </c>
      <c r="C29" s="20">
        <v>0.2</v>
      </c>
      <c r="F29" s="43"/>
    </row>
    <row r="30" spans="1:6" ht="12.75">
      <c r="A30" s="66" t="s">
        <v>80</v>
      </c>
      <c r="B30" s="20">
        <v>0.3</v>
      </c>
      <c r="C30" s="24">
        <f>IF(AND(C28=A69,OR(C29=20%,C29=10%)),MIN(B30,30%),0%)</f>
        <v>0.3</v>
      </c>
      <c r="F30" s="43"/>
    </row>
    <row r="31" spans="1:6" ht="12.75">
      <c r="A31" s="81" t="s">
        <v>46</v>
      </c>
      <c r="B31" s="5"/>
      <c r="C31" s="26">
        <f>IF((C21)=A78,0,IF('מושלם לבית '!C7=A64,IF(C14=A69,'בסיס דירה'!D52,'בסיס דירה'!H52),IF(C7=A65,IF(C14=A69,'בסיס דירה'!E52,'בסיס דירה'!I52),IF('מושלם לבית '!C7='מושלם לבית '!A66,IF(C14=A69,'בסיס דירה'!F52,'בסיס דירה'!J52),"שגיאה"))))</f>
        <v>0</v>
      </c>
      <c r="F31" s="43"/>
    </row>
    <row r="32" spans="1:6" ht="13.5" thickBot="1">
      <c r="A32" s="16" t="s">
        <v>42</v>
      </c>
      <c r="B32" s="5"/>
      <c r="C32" s="26">
        <f>IF(AND((C5)=0,(C6)=0),0,IF(C7=A64,IF(C14=A69,'בסיס דירה'!D53,'בסיס דירה'!H53),IF(C7=A65,IF(C14=A69,'בסיס דירה'!E53,'בסיס דירה'!I53),IF('מושלם לבית '!C7='מושלם לבית '!A66,IF(C14=A69,'בסיס דירה'!F53,'בסיס דירה'!J53),"שגיאה"))))</f>
        <v>0</v>
      </c>
      <c r="F32" s="43"/>
    </row>
    <row r="33" spans="1:6" ht="15.75" thickBot="1">
      <c r="A33" s="82" t="s">
        <v>79</v>
      </c>
      <c r="B33" s="15"/>
      <c r="C33" s="65">
        <f>IF((C5+C6)=0,0,IF(C7=A64,IF(C14=A69,'בסיס דירה'!D54,'בסיס דירה'!H54),IF(C7=A65,IF(C14=A69,'בסיס דירה'!E54,'בסיס דירה'!I54),IF('מושלם לבית '!C7='מושלם לבית '!A66,IF(C14=A69,'בסיס דירה'!F54,'בסיס דירה'!J54),"שגיאה"))))</f>
        <v>2221.8315</v>
      </c>
      <c r="F33" s="43"/>
    </row>
    <row r="34" ht="12.75">
      <c r="C34" s="80" t="s">
        <v>78</v>
      </c>
    </row>
    <row r="36" spans="1:9" ht="13.5" thickBot="1">
      <c r="A36" s="49"/>
      <c r="E36" s="41"/>
      <c r="F36" s="41"/>
      <c r="G36" s="41"/>
      <c r="H36" s="41"/>
      <c r="I36" s="41"/>
    </row>
    <row r="37" spans="1:9" ht="12.75">
      <c r="A37" s="32" t="s">
        <v>22</v>
      </c>
      <c r="B37" s="89" t="s">
        <v>81</v>
      </c>
      <c r="C37" s="90"/>
      <c r="D37" s="41"/>
      <c r="E37" s="44"/>
      <c r="F37" s="45"/>
      <c r="G37" s="45"/>
      <c r="H37" s="45"/>
      <c r="I37" s="41"/>
    </row>
    <row r="38" spans="1:9" ht="12.75">
      <c r="A38" s="61"/>
      <c r="B38" s="62" t="s">
        <v>67</v>
      </c>
      <c r="C38" s="63" t="s">
        <v>68</v>
      </c>
      <c r="D38" s="41"/>
      <c r="E38" s="44"/>
      <c r="F38" s="45"/>
      <c r="G38" s="45"/>
      <c r="H38" s="45"/>
      <c r="I38" s="41"/>
    </row>
    <row r="39" spans="1:9" ht="12.75">
      <c r="A39" s="9" t="s">
        <v>23</v>
      </c>
      <c r="B39" s="10">
        <v>500</v>
      </c>
      <c r="C39" s="10">
        <v>620</v>
      </c>
      <c r="D39" s="41"/>
      <c r="E39" s="46"/>
      <c r="F39" s="47"/>
      <c r="G39" s="47"/>
      <c r="H39" s="48"/>
      <c r="I39" s="41"/>
    </row>
    <row r="40" spans="1:9" ht="12.75">
      <c r="A40" s="9" t="s">
        <v>0</v>
      </c>
      <c r="B40" s="10">
        <v>130</v>
      </c>
      <c r="C40" s="10">
        <v>130</v>
      </c>
      <c r="D40" s="41"/>
      <c r="E40" s="46"/>
      <c r="F40" s="47"/>
      <c r="G40" s="47"/>
      <c r="H40" s="48"/>
      <c r="I40" s="41"/>
    </row>
    <row r="41" spans="1:9" ht="12.75">
      <c r="A41" s="9" t="s">
        <v>2</v>
      </c>
      <c r="B41" s="10">
        <v>370</v>
      </c>
      <c r="C41" s="10">
        <v>490</v>
      </c>
      <c r="D41" s="41"/>
      <c r="E41" s="46"/>
      <c r="F41" s="47"/>
      <c r="G41" s="47"/>
      <c r="H41" s="48"/>
      <c r="I41" s="41"/>
    </row>
    <row r="42" spans="1:9" ht="12.75">
      <c r="A42" s="9"/>
      <c r="B42" s="5"/>
      <c r="C42" s="11"/>
      <c r="D42" s="41"/>
      <c r="E42" s="46"/>
      <c r="F42" s="47"/>
      <c r="G42" s="47"/>
      <c r="H42" s="48"/>
      <c r="I42" s="41"/>
    </row>
    <row r="43" spans="1:9" ht="12.75">
      <c r="A43" s="56" t="s">
        <v>65</v>
      </c>
      <c r="B43" s="5"/>
      <c r="C43" s="10">
        <v>552</v>
      </c>
      <c r="D43" s="41"/>
      <c r="E43" s="46"/>
      <c r="F43" s="47"/>
      <c r="G43" s="47"/>
      <c r="H43" s="48"/>
      <c r="I43" s="41"/>
    </row>
    <row r="44" spans="1:9" ht="12.75">
      <c r="A44" s="56" t="s">
        <v>62</v>
      </c>
      <c r="B44" s="5"/>
      <c r="C44" s="10">
        <v>291</v>
      </c>
      <c r="D44" s="41"/>
      <c r="E44" s="46"/>
      <c r="F44" s="47"/>
      <c r="G44" s="47"/>
      <c r="H44" s="48"/>
      <c r="I44" s="41"/>
    </row>
    <row r="45" spans="1:9" ht="12.75">
      <c r="A45" s="56" t="s">
        <v>57</v>
      </c>
      <c r="B45" s="5"/>
      <c r="C45" s="10">
        <v>281</v>
      </c>
      <c r="D45" s="41"/>
      <c r="E45" s="46"/>
      <c r="F45" s="47"/>
      <c r="G45" s="47"/>
      <c r="H45" s="48"/>
      <c r="I45" s="41"/>
    </row>
    <row r="46" spans="1:9" ht="12.75">
      <c r="A46" s="9" t="s">
        <v>30</v>
      </c>
      <c r="B46" s="5" t="s">
        <v>52</v>
      </c>
      <c r="C46" s="10">
        <v>604</v>
      </c>
      <c r="D46" s="41"/>
      <c r="E46" s="46"/>
      <c r="F46" s="47"/>
      <c r="G46" s="47"/>
      <c r="H46" s="48"/>
      <c r="I46" s="41"/>
    </row>
    <row r="47" spans="1:9" ht="12.75">
      <c r="A47" s="9"/>
      <c r="B47" s="5" t="s">
        <v>53</v>
      </c>
      <c r="C47" s="50">
        <v>1510</v>
      </c>
      <c r="D47" s="41"/>
      <c r="E47" s="46"/>
      <c r="F47" s="47"/>
      <c r="G47" s="47"/>
      <c r="H47" s="48"/>
      <c r="I47" s="41"/>
    </row>
    <row r="48" spans="1:9" ht="12.75">
      <c r="A48" s="9"/>
      <c r="B48" s="5"/>
      <c r="C48" s="11"/>
      <c r="D48" s="41"/>
      <c r="E48" s="41"/>
      <c r="F48" s="41"/>
      <c r="G48" s="41"/>
      <c r="H48" s="41"/>
      <c r="I48" s="41"/>
    </row>
    <row r="49" spans="1:9" ht="13.5" thickBot="1">
      <c r="A49" s="12" t="s">
        <v>24</v>
      </c>
      <c r="B49" s="13"/>
      <c r="C49" s="14">
        <v>210</v>
      </c>
      <c r="D49" s="41"/>
      <c r="E49" s="43"/>
      <c r="F49" s="43"/>
      <c r="G49" s="43"/>
      <c r="H49" s="43"/>
      <c r="I49" s="43"/>
    </row>
    <row r="50" ht="12.75">
      <c r="E50" s="42"/>
    </row>
    <row r="64" ht="12.75">
      <c r="A64" t="s">
        <v>73</v>
      </c>
    </row>
    <row r="65" ht="12.75">
      <c r="A65" t="s">
        <v>12</v>
      </c>
    </row>
    <row r="66" ht="12.75">
      <c r="A66" t="s">
        <v>13</v>
      </c>
    </row>
    <row r="68" ht="12.75">
      <c r="A68" t="s">
        <v>38</v>
      </c>
    </row>
    <row r="69" ht="12.75">
      <c r="A69" t="s">
        <v>26</v>
      </c>
    </row>
    <row r="70" ht="12.75">
      <c r="A70" t="s">
        <v>27</v>
      </c>
    </row>
    <row r="71" ht="12.75">
      <c r="A71" t="s">
        <v>30</v>
      </c>
    </row>
    <row r="73" ht="12.75">
      <c r="A73" s="23">
        <v>0</v>
      </c>
    </row>
    <row r="74" ht="12.75">
      <c r="A74" s="23">
        <v>0.1</v>
      </c>
    </row>
    <row r="75" ht="12.75">
      <c r="A75" s="23">
        <v>0.2</v>
      </c>
    </row>
    <row r="76" ht="12.75">
      <c r="A76" s="1">
        <v>0.3</v>
      </c>
    </row>
    <row r="78" spans="1:4" ht="12.75">
      <c r="A78" t="s">
        <v>36</v>
      </c>
      <c r="B78" s="1">
        <v>0</v>
      </c>
      <c r="C78">
        <v>0</v>
      </c>
      <c r="D78">
        <f>$C$46/628*C78</f>
        <v>0</v>
      </c>
    </row>
    <row r="79" spans="1:4" ht="12.75">
      <c r="A79" t="s">
        <v>32</v>
      </c>
      <c r="B79" s="1">
        <v>0.1</v>
      </c>
      <c r="C79">
        <v>1148</v>
      </c>
      <c r="D79">
        <f>ROUNDDOWN($C$39/593*C79,0)</f>
        <v>1200</v>
      </c>
    </row>
    <row r="80" spans="1:4" ht="12.75">
      <c r="A80" t="s">
        <v>33</v>
      </c>
      <c r="B80" s="1">
        <v>0.15</v>
      </c>
      <c r="C80">
        <v>1744</v>
      </c>
      <c r="D80">
        <f>ROUNDDOWN($C$39/593*C80,0)</f>
        <v>1823</v>
      </c>
    </row>
    <row r="81" spans="1:4" ht="12.75">
      <c r="A81" t="s">
        <v>34</v>
      </c>
      <c r="B81" s="1">
        <v>0.25</v>
      </c>
      <c r="C81">
        <v>3124</v>
      </c>
      <c r="D81">
        <f>ROUNDDOWN($C$39/593*C81,0)</f>
        <v>3266</v>
      </c>
    </row>
    <row r="82" spans="1:4" ht="12.75">
      <c r="A82" t="s">
        <v>35</v>
      </c>
      <c r="B82" s="1">
        <v>0.35</v>
      </c>
      <c r="C82">
        <v>6255</v>
      </c>
      <c r="D82">
        <f>ROUNDDOWN($C$39/593*C82,0)</f>
        <v>6539</v>
      </c>
    </row>
    <row r="85" spans="1:2" ht="12.75">
      <c r="A85" s="43"/>
      <c r="B85" s="1">
        <v>0</v>
      </c>
    </row>
    <row r="86" spans="1:2" ht="12.75">
      <c r="A86" t="s">
        <v>39</v>
      </c>
      <c r="B86" s="1">
        <v>0.05</v>
      </c>
    </row>
    <row r="87" spans="1:2" ht="12.75">
      <c r="A87" t="s">
        <v>40</v>
      </c>
      <c r="B87" s="1">
        <v>0.05</v>
      </c>
    </row>
    <row r="88" spans="1:2" ht="12.75">
      <c r="A88" s="43" t="s">
        <v>72</v>
      </c>
      <c r="B88" s="1">
        <v>0.01</v>
      </c>
    </row>
    <row r="89" spans="1:2" ht="12.75">
      <c r="A89" t="s">
        <v>41</v>
      </c>
      <c r="B89" s="1">
        <v>0.01</v>
      </c>
    </row>
    <row r="91" spans="1:2" ht="12.75">
      <c r="A91">
        <v>0</v>
      </c>
      <c r="B91" s="30">
        <v>0</v>
      </c>
    </row>
    <row r="92" spans="1:2" ht="12.75">
      <c r="A92">
        <v>0.1</v>
      </c>
      <c r="B92" s="30">
        <v>0.025</v>
      </c>
    </row>
    <row r="93" spans="1:2" ht="12.75">
      <c r="A93">
        <v>0.2</v>
      </c>
      <c r="B93" s="30">
        <v>0.05</v>
      </c>
    </row>
    <row r="96" ht="12.75">
      <c r="A96" s="23">
        <v>0</v>
      </c>
    </row>
    <row r="97" ht="12.75">
      <c r="A97" s="23">
        <v>0.1</v>
      </c>
    </row>
    <row r="98" ht="12.75">
      <c r="A98" s="23">
        <v>0.2</v>
      </c>
    </row>
    <row r="99" ht="12.75">
      <c r="A99" s="1">
        <v>0.3</v>
      </c>
    </row>
    <row r="101" ht="12.75">
      <c r="A101" t="s">
        <v>38</v>
      </c>
    </row>
    <row r="102" ht="12.75">
      <c r="A102" t="s">
        <v>43</v>
      </c>
    </row>
    <row r="103" ht="12.75">
      <c r="A103" t="s">
        <v>27</v>
      </c>
    </row>
    <row r="105" spans="1:2" ht="12.75">
      <c r="A105" t="s">
        <v>51</v>
      </c>
      <c r="B105">
        <v>0</v>
      </c>
    </row>
    <row r="106" spans="1:2" ht="12.75">
      <c r="A106" s="1">
        <v>1</v>
      </c>
      <c r="B106">
        <v>1</v>
      </c>
    </row>
    <row r="107" spans="1:2" ht="12.75">
      <c r="A107" s="1">
        <v>1.5</v>
      </c>
      <c r="B107">
        <v>1.5</v>
      </c>
    </row>
    <row r="108" spans="1:2" ht="12.75">
      <c r="A108" s="1">
        <v>2</v>
      </c>
      <c r="B108">
        <v>2</v>
      </c>
    </row>
    <row r="110" spans="1:3" ht="12.75">
      <c r="A110" s="79" t="s">
        <v>55</v>
      </c>
      <c r="B110" s="51" t="s">
        <v>55</v>
      </c>
      <c r="C110">
        <v>0</v>
      </c>
    </row>
    <row r="111" spans="1:3" ht="12.75">
      <c r="A111" s="1">
        <v>0.1</v>
      </c>
      <c r="B111" s="1">
        <v>0.1</v>
      </c>
      <c r="C111" s="1">
        <f aca="true" t="shared" si="0" ref="C111:C116">B111</f>
        <v>0.1</v>
      </c>
    </row>
    <row r="112" spans="1:3" ht="12.75">
      <c r="A112" s="1">
        <v>0.2</v>
      </c>
      <c r="B112" s="1">
        <v>0.2</v>
      </c>
      <c r="C112" s="1">
        <f t="shared" si="0"/>
        <v>0.2</v>
      </c>
    </row>
    <row r="113" spans="1:3" ht="12.75">
      <c r="A113" s="1">
        <v>0.3</v>
      </c>
      <c r="B113" s="1">
        <v>0.3</v>
      </c>
      <c r="C113" s="1">
        <f t="shared" si="0"/>
        <v>0.3</v>
      </c>
    </row>
    <row r="114" spans="1:3" ht="12.75">
      <c r="A114" s="1">
        <v>0.4</v>
      </c>
      <c r="B114" s="1">
        <v>0.4</v>
      </c>
      <c r="C114" s="1">
        <f t="shared" si="0"/>
        <v>0.4</v>
      </c>
    </row>
    <row r="115" spans="1:3" ht="12.75">
      <c r="A115" s="1">
        <v>0.5</v>
      </c>
      <c r="B115" s="1">
        <v>0.5</v>
      </c>
      <c r="C115" s="1">
        <f t="shared" si="0"/>
        <v>0.5</v>
      </c>
    </row>
    <row r="116" spans="1:3" ht="12.75">
      <c r="A116" s="1">
        <v>0.6</v>
      </c>
      <c r="B116" s="1">
        <v>0.6</v>
      </c>
      <c r="C116" s="1">
        <f t="shared" si="0"/>
        <v>0.6</v>
      </c>
    </row>
    <row r="117" ht="12.75">
      <c r="A117" s="53"/>
    </row>
    <row r="118" spans="1:2" ht="12.75">
      <c r="A118" s="56" t="s">
        <v>27</v>
      </c>
      <c r="B118" s="1">
        <v>0</v>
      </c>
    </row>
    <row r="119" spans="1:2" ht="12.75">
      <c r="A119" s="56" t="s">
        <v>64</v>
      </c>
      <c r="B119">
        <f>C43</f>
        <v>552</v>
      </c>
    </row>
    <row r="120" spans="1:2" ht="12.75">
      <c r="A120" s="56" t="s">
        <v>66</v>
      </c>
      <c r="B120">
        <f>C44</f>
        <v>291</v>
      </c>
    </row>
  </sheetData>
  <sheetProtection password="DC6F" sheet="1"/>
  <protectedRanges>
    <protectedRange sqref="C49 C43:C47 B30 C28:C29 C9 C5:C7 C21 C23:C26 B37:C41 C13:C16 B17:B20 A25:A26" name="טווח1"/>
  </protectedRanges>
  <mergeCells count="3">
    <mergeCell ref="A3:C3"/>
    <mergeCell ref="B37:C37"/>
    <mergeCell ref="C1:D1"/>
  </mergeCells>
  <conditionalFormatting sqref="A31">
    <cfRule type="expression" priority="1" dxfId="1" stopIfTrue="1">
      <formula>$C$31=0</formula>
    </cfRule>
  </conditionalFormatting>
  <conditionalFormatting sqref="C31">
    <cfRule type="cellIs" priority="2" dxfId="2" operator="equal" stopIfTrue="1">
      <formula>0</formula>
    </cfRule>
  </conditionalFormatting>
  <dataValidations count="10">
    <dataValidation type="list" allowBlank="1" showInputMessage="1" showErrorMessage="1" sqref="C28 C13:C14 B17:B18">
      <formula1>$A$69:$A$70</formula1>
    </dataValidation>
    <dataValidation type="list" allowBlank="1" showInputMessage="1" showErrorMessage="1" sqref="C29">
      <formula1>$A$73:$A$75</formula1>
    </dataValidation>
    <dataValidation type="list" allowBlank="1" showInputMessage="1" showErrorMessage="1" sqref="C15">
      <formula1>$A$69:$A$71</formula1>
    </dataValidation>
    <dataValidation type="list" allowBlank="1" showInputMessage="1" showErrorMessage="1" sqref="C21">
      <formula1>$A$78:$A$82</formula1>
    </dataValidation>
    <dataValidation type="list" allowBlank="1" showInputMessage="1" showErrorMessage="1" sqref="B30">
      <formula1>$A$96:$A$99</formula1>
    </dataValidation>
    <dataValidation type="list" allowBlank="1" showInputMessage="1" showErrorMessage="1" sqref="C7">
      <formula1>$A$64:$A$66</formula1>
    </dataValidation>
    <dataValidation type="list" allowBlank="1" showInputMessage="1" showErrorMessage="1" sqref="B19">
      <formula1>$A$105:$A$108</formula1>
    </dataValidation>
    <dataValidation type="list" allowBlank="1" showInputMessage="1" showErrorMessage="1" sqref="B20">
      <formula1>$A$110:$A$116</formula1>
    </dataValidation>
    <dataValidation type="list" allowBlank="1" showInputMessage="1" showErrorMessage="1" sqref="A25:A26">
      <formula1>$A$85:$A$89</formula1>
    </dataValidation>
    <dataValidation type="list" allowBlank="1" showInputMessage="1" showErrorMessage="1" sqref="C16">
      <formula1>$A$118:$A$120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2:P64"/>
  <sheetViews>
    <sheetView rightToLeft="1" zoomScalePageLayoutView="0" workbookViewId="0" topLeftCell="A100">
      <selection activeCell="A119" sqref="A119"/>
    </sheetView>
  </sheetViews>
  <sheetFormatPr defaultColWidth="9.140625" defaultRowHeight="12.75"/>
  <cols>
    <col min="1" max="1" width="21.00390625" style="0" customWidth="1"/>
    <col min="3" max="3" width="7.140625" style="0" customWidth="1"/>
    <col min="4" max="4" width="9.140625" style="27" customWidth="1"/>
    <col min="6" max="6" width="9.140625" style="27" customWidth="1"/>
    <col min="7" max="7" width="3.140625" style="0" customWidth="1"/>
    <col min="13" max="14" width="11.28125" style="0" bestFit="1" customWidth="1"/>
    <col min="15" max="15" width="11.28125" style="0" customWidth="1"/>
  </cols>
  <sheetData>
    <row r="1" ht="10.5" customHeight="1" hidden="1"/>
    <row r="2" spans="1:10" ht="15.75" hidden="1">
      <c r="A2" t="s">
        <v>4</v>
      </c>
      <c r="D2" s="92" t="s">
        <v>14</v>
      </c>
      <c r="E2" s="92"/>
      <c r="F2" s="92"/>
      <c r="H2" s="92" t="s">
        <v>15</v>
      </c>
      <c r="I2" s="92"/>
      <c r="J2" s="92"/>
    </row>
    <row r="3" spans="4:10" ht="12.75" hidden="1">
      <c r="D3" s="33" t="s">
        <v>73</v>
      </c>
      <c r="E3" s="4" t="s">
        <v>12</v>
      </c>
      <c r="F3" s="33" t="s">
        <v>13</v>
      </c>
      <c r="H3" s="4" t="s">
        <v>73</v>
      </c>
      <c r="I3" s="4" t="s">
        <v>12</v>
      </c>
      <c r="J3" s="4" t="s">
        <v>13</v>
      </c>
    </row>
    <row r="4" spans="1:10" ht="12.75" hidden="1">
      <c r="A4" t="s">
        <v>0</v>
      </c>
      <c r="B4" s="67">
        <f>'מושלם לבית '!C5</f>
        <v>1000000</v>
      </c>
      <c r="D4" s="34">
        <v>0.00045</v>
      </c>
      <c r="E4" s="34">
        <v>0.00045</v>
      </c>
      <c r="F4" s="34">
        <v>0.00045</v>
      </c>
      <c r="H4" s="6">
        <v>0.00045</v>
      </c>
      <c r="I4" s="6">
        <v>0.00045</v>
      </c>
      <c r="J4" s="6">
        <v>0.00045</v>
      </c>
    </row>
    <row r="5" spans="1:10" ht="12.75" hidden="1">
      <c r="A5" t="s">
        <v>2</v>
      </c>
      <c r="B5" s="67">
        <f>'מושלם לבית '!C6</f>
        <v>300000</v>
      </c>
      <c r="D5" s="57">
        <v>0.01</v>
      </c>
      <c r="E5" s="57">
        <v>0.011</v>
      </c>
      <c r="F5" s="57">
        <v>0.01</v>
      </c>
      <c r="G5" s="55"/>
      <c r="H5" s="57">
        <v>0.01</v>
      </c>
      <c r="I5" s="57">
        <v>0.011</v>
      </c>
      <c r="J5" s="57">
        <v>0.01</v>
      </c>
    </row>
    <row r="6" spans="1:2" ht="12.75" hidden="1">
      <c r="A6" t="s">
        <v>45</v>
      </c>
      <c r="B6" s="67">
        <f>'מושלם לבית '!C9</f>
        <v>40000</v>
      </c>
    </row>
    <row r="7" spans="1:2" ht="12.75" hidden="1">
      <c r="A7" s="51" t="s">
        <v>58</v>
      </c>
      <c r="B7" s="67">
        <f>IF($B$6&gt;($B$5*0.15),$B$6-$B$5*0.15,0)</f>
        <v>0</v>
      </c>
    </row>
    <row r="8" spans="1:10" ht="12.75" hidden="1">
      <c r="A8" t="s">
        <v>16</v>
      </c>
      <c r="D8" s="27">
        <f>IF(D3='מושלם לבית '!$A$64,IF($B$4=0,'מושלם לבית '!$B$41,IF($B$5=0,'מושלם לבית '!$B$40,'מושלם לבית '!$B$39)),IF($B$4=0,'מושלם לבית '!$C$41,IF($B$5=0,'מושלם לבית '!$C$40,'מושלם לבית '!$C$39)))</f>
        <v>500</v>
      </c>
      <c r="E8" s="27">
        <f>IF(E3='מושלם לבית '!$A$64,IF($B$4=0,'מושלם לבית '!$B$41,IF($B$5=0,'מושלם לבית '!$B$40,'מושלם לבית '!$B$39)),IF($B$4=0,'מושלם לבית '!$C$41,IF($B$5=0,'מושלם לבית '!$C$40,'מושלם לבית '!$C$39)))</f>
        <v>620</v>
      </c>
      <c r="F8" s="27">
        <f>IF(F3='מושלם לבית '!$A$64,IF($B$4=0,'מושלם לבית '!$B$41,IF($B$5=0,'מושלם לבית '!$B$40,'מושלם לבית '!$B$39)),IF($B$4=0,'מושלם לבית '!$C$41,IF($B$5=0,'מושלם לבית '!$C$40,'מושלם לבית '!$C$39)))</f>
        <v>620</v>
      </c>
      <c r="G8" s="27"/>
      <c r="H8" s="27">
        <f>IF(H3='מושלם לבית '!$A$64,IF($B$4=0,'מושלם לבית '!$B$41,IF($B$5=0,'מושלם לבית '!$B$40,'מושלם לבית '!$B$39)),IF($B$4=0,'מושלם לבית '!$C$41,IF($B$5=0,'מושלם לבית '!$C$40,'מושלם לבית '!$C$39)))</f>
        <v>500</v>
      </c>
      <c r="I8" s="27">
        <f>IF(I3='מושלם לבית '!$A$64,IF($B$4=0,'מושלם לבית '!$B$41,IF($B$5=0,'מושלם לבית '!$B$40,'מושלם לבית '!$B$39)),IF($B$4=0,'מושלם לבית '!$C$41,IF($B$5=0,'מושלם לבית '!$C$40,'מושלם לבית '!$C$39)))</f>
        <v>620</v>
      </c>
      <c r="J8" s="27">
        <f>IF(J3='מושלם לבית '!$A$64,IF($B$4=0,'מושלם לבית '!$B$41,IF($B$5=0,'מושלם לבית '!$B$40,'מושלם לבית '!$B$39)),IF($B$4=0,'מושלם לבית '!$C$41,IF($B$5=0,'מושלם לבית '!$C$40,'מושלם לבית '!$C$39)))</f>
        <v>620</v>
      </c>
    </row>
    <row r="9" ht="12.75" hidden="1"/>
    <row r="10" spans="1:10" ht="12.75" hidden="1">
      <c r="A10" t="s">
        <v>8</v>
      </c>
      <c r="D10" s="35">
        <v>0.0012</v>
      </c>
      <c r="E10" s="3">
        <v>0.0012</v>
      </c>
      <c r="F10" s="35">
        <v>0.0012</v>
      </c>
      <c r="H10" s="3"/>
      <c r="I10" s="3"/>
      <c r="J10" s="3"/>
    </row>
    <row r="11" ht="12.75" hidden="1"/>
    <row r="12" spans="1:10" ht="12.75" hidden="1">
      <c r="A12" t="s">
        <v>70</v>
      </c>
      <c r="B12" s="67">
        <f>B4</f>
        <v>1000000</v>
      </c>
      <c r="D12" s="35">
        <v>0.0001</v>
      </c>
      <c r="E12" s="35">
        <v>0.0001</v>
      </c>
      <c r="F12" s="35">
        <v>0.0001</v>
      </c>
      <c r="G12" s="35"/>
      <c r="H12" s="35">
        <v>0.0001</v>
      </c>
      <c r="I12" s="35">
        <v>0.0001</v>
      </c>
      <c r="J12" s="35">
        <v>0.0001</v>
      </c>
    </row>
    <row r="13" spans="1:10" ht="12.75" hidden="1">
      <c r="A13" t="s">
        <v>71</v>
      </c>
      <c r="B13" s="67">
        <f>B5</f>
        <v>300000</v>
      </c>
      <c r="D13" s="35">
        <v>0.002</v>
      </c>
      <c r="E13" s="35">
        <v>0.002</v>
      </c>
      <c r="F13" s="35">
        <v>0.002</v>
      </c>
      <c r="G13" s="35"/>
      <c r="H13" s="35">
        <v>0.002</v>
      </c>
      <c r="I13" s="35">
        <v>0.002</v>
      </c>
      <c r="J13" s="35">
        <v>0.002</v>
      </c>
    </row>
    <row r="14" spans="1:15" ht="12.75" hidden="1">
      <c r="A14" t="s">
        <v>31</v>
      </c>
      <c r="B14" s="67">
        <f>IF('מושלם לבית '!$C$19='מושלם לבית '!$A$70,0,IF(D26&gt;0,$B$4*VLOOKUP('מושלם לבית '!$B$19,'מושלם לבית '!$A$105:$B$108,2,0),0))</f>
        <v>0</v>
      </c>
      <c r="D14" s="59">
        <v>0.00045</v>
      </c>
      <c r="E14" s="59">
        <v>0.00045</v>
      </c>
      <c r="F14" s="59">
        <v>0.00045</v>
      </c>
      <c r="G14" s="59"/>
      <c r="H14" s="59">
        <v>0.00045</v>
      </c>
      <c r="I14" s="59">
        <v>0.00045</v>
      </c>
      <c r="J14" s="59">
        <v>0.00045</v>
      </c>
      <c r="O14" s="27"/>
    </row>
    <row r="15" spans="1:15" ht="12.75" hidden="1">
      <c r="A15" s="51" t="s">
        <v>54</v>
      </c>
      <c r="B15" s="67">
        <f>IF('מושלם לבית '!C20&lt;&gt;'מושלם לבית '!B110,'מושלם לבית '!C20,0)</f>
        <v>0</v>
      </c>
      <c r="D15" s="59">
        <v>0.00045</v>
      </c>
      <c r="E15" s="59">
        <v>0.00045</v>
      </c>
      <c r="F15" s="59">
        <v>0.00045</v>
      </c>
      <c r="G15" s="59"/>
      <c r="H15" s="59">
        <v>0.00045</v>
      </c>
      <c r="I15" s="59">
        <v>0.00045</v>
      </c>
      <c r="J15" s="59">
        <v>0.00045</v>
      </c>
      <c r="O15" s="27"/>
    </row>
    <row r="16" spans="1:15" ht="12.75" hidden="1">
      <c r="A16" t="s">
        <v>11</v>
      </c>
      <c r="D16" s="58">
        <v>0.35</v>
      </c>
      <c r="E16" s="1">
        <v>0</v>
      </c>
      <c r="F16" s="36">
        <v>0</v>
      </c>
      <c r="H16" s="58">
        <v>0.35</v>
      </c>
      <c r="I16" s="1">
        <v>0</v>
      </c>
      <c r="J16" s="1">
        <v>0</v>
      </c>
      <c r="O16" s="27"/>
    </row>
    <row r="17" spans="1:16" ht="12.75" hidden="1">
      <c r="A17" t="s">
        <v>3</v>
      </c>
      <c r="D17" s="36">
        <v>0.35</v>
      </c>
      <c r="E17" s="1">
        <v>0.35</v>
      </c>
      <c r="F17" s="36">
        <v>0.35</v>
      </c>
      <c r="H17" s="1">
        <v>0.35</v>
      </c>
      <c r="I17" s="1">
        <v>0.35</v>
      </c>
      <c r="J17" s="1">
        <v>0.35</v>
      </c>
      <c r="M17" s="52"/>
      <c r="N17" s="60"/>
      <c r="O17" s="75"/>
      <c r="P17" s="60"/>
    </row>
    <row r="18" spans="1:16" ht="12.75" hidden="1">
      <c r="A18" t="s">
        <v>20</v>
      </c>
      <c r="D18" s="36">
        <f>'מושלם לבית '!$C$29</f>
        <v>0.2</v>
      </c>
      <c r="E18" s="1">
        <f>'מושלם לבית '!$C$29</f>
        <v>0.2</v>
      </c>
      <c r="F18" s="36">
        <f>'מושלם לבית '!$C$29</f>
        <v>0.2</v>
      </c>
      <c r="H18" s="1">
        <f>'מושלם לבית '!$C$29</f>
        <v>0.2</v>
      </c>
      <c r="I18" s="1">
        <f>'מושלם לבית '!$C$29</f>
        <v>0.2</v>
      </c>
      <c r="J18" s="1">
        <f>'מושלם לבית '!$C$29</f>
        <v>0.2</v>
      </c>
      <c r="M18" s="52"/>
      <c r="N18" s="60"/>
      <c r="O18" s="27"/>
      <c r="P18" s="60"/>
    </row>
    <row r="19" spans="1:16" ht="12.75" hidden="1">
      <c r="A19" t="s">
        <v>21</v>
      </c>
      <c r="D19" s="36">
        <f>'מושלם לבית '!$C$30</f>
        <v>0.3</v>
      </c>
      <c r="E19" s="1">
        <f>'מושלם לבית '!$C$30</f>
        <v>0.3</v>
      </c>
      <c r="F19" s="36">
        <f>'מושלם לבית '!$C$30</f>
        <v>0.3</v>
      </c>
      <c r="H19" s="1">
        <f>'מושלם לבית '!$C$30</f>
        <v>0.3</v>
      </c>
      <c r="I19" s="1">
        <f>'מושלם לבית '!$C$30</f>
        <v>0.3</v>
      </c>
      <c r="J19" s="1">
        <f>'מושלם לבית '!$C$30</f>
        <v>0.3</v>
      </c>
      <c r="O19" s="27"/>
      <c r="P19" s="60"/>
    </row>
    <row r="20" spans="1:16" ht="12.75" hidden="1">
      <c r="A20" t="s">
        <v>50</v>
      </c>
      <c r="D20" s="58">
        <v>0.2</v>
      </c>
      <c r="E20" s="58">
        <v>0.2</v>
      </c>
      <c r="F20" s="58">
        <v>0.2</v>
      </c>
      <c r="G20" s="55"/>
      <c r="H20" s="58"/>
      <c r="I20" s="58"/>
      <c r="J20" s="58"/>
      <c r="O20" s="27"/>
      <c r="P20" s="60"/>
    </row>
    <row r="21" spans="1:15" ht="12.75" hidden="1">
      <c r="A21" t="s">
        <v>5</v>
      </c>
      <c r="D21" s="58">
        <v>0.15</v>
      </c>
      <c r="E21" s="58">
        <v>0.15</v>
      </c>
      <c r="F21" s="58">
        <v>0.15</v>
      </c>
      <c r="G21" s="55"/>
      <c r="H21" s="58"/>
      <c r="I21" s="58"/>
      <c r="J21" s="58"/>
      <c r="O21" s="27"/>
    </row>
    <row r="22" spans="1:15" ht="12.75" hidden="1">
      <c r="A22" t="s">
        <v>7</v>
      </c>
      <c r="D22" s="58">
        <f>'מושלם לבית '!$C$11</f>
        <v>0.45</v>
      </c>
      <c r="E22" s="58">
        <f>'מושלם לבית '!$C$11</f>
        <v>0.45</v>
      </c>
      <c r="F22" s="58">
        <f>'מושלם לבית '!$C$11</f>
        <v>0.45</v>
      </c>
      <c r="G22" s="55"/>
      <c r="H22" s="58">
        <f>'מושלם לבית '!$C$11</f>
        <v>0.45</v>
      </c>
      <c r="I22" s="58">
        <f>'מושלם לבית '!$C$11</f>
        <v>0.45</v>
      </c>
      <c r="J22" s="58">
        <f>'מושלם לבית '!$C$11</f>
        <v>0.45</v>
      </c>
      <c r="O22" s="27"/>
    </row>
    <row r="23" spans="1:15" ht="12.75" hidden="1">
      <c r="A23" t="s">
        <v>9</v>
      </c>
      <c r="D23" s="36">
        <v>0.2</v>
      </c>
      <c r="E23" s="1">
        <v>0.2</v>
      </c>
      <c r="F23" s="36">
        <v>0.2</v>
      </c>
      <c r="H23" s="1"/>
      <c r="I23" s="1"/>
      <c r="J23" s="1"/>
      <c r="O23" s="27"/>
    </row>
    <row r="24" spans="3:15" ht="12.75" hidden="1">
      <c r="C24" s="27"/>
      <c r="O24" s="27"/>
    </row>
    <row r="25" spans="3:15" ht="12.75" hidden="1">
      <c r="C25" s="27"/>
      <c r="D25" s="33" t="s">
        <v>6</v>
      </c>
      <c r="E25" s="4" t="s">
        <v>12</v>
      </c>
      <c r="F25" s="33" t="s">
        <v>13</v>
      </c>
      <c r="H25" s="4" t="s">
        <v>6</v>
      </c>
      <c r="I25" s="4" t="s">
        <v>12</v>
      </c>
      <c r="J25" s="4" t="s">
        <v>13</v>
      </c>
      <c r="O25" s="27"/>
    </row>
    <row r="26" spans="1:15" ht="12.75" hidden="1">
      <c r="A26" t="s">
        <v>0</v>
      </c>
      <c r="C26" s="34"/>
      <c r="D26" s="28">
        <f>D4*$B$4</f>
        <v>450</v>
      </c>
      <c r="E26">
        <f>E4*$B$4</f>
        <v>450</v>
      </c>
      <c r="F26" s="27">
        <f>F4*$B$4</f>
        <v>450</v>
      </c>
      <c r="H26">
        <f>H4*$B$4</f>
        <v>450</v>
      </c>
      <c r="I26">
        <f>I4*$B$4</f>
        <v>450</v>
      </c>
      <c r="J26">
        <f>J4*$B$4</f>
        <v>450</v>
      </c>
      <c r="O26" s="27"/>
    </row>
    <row r="27" spans="1:15" ht="12.75" hidden="1">
      <c r="A27" t="s">
        <v>50</v>
      </c>
      <c r="C27" s="34"/>
      <c r="D27" s="73">
        <f>-D20*(D26)</f>
        <v>-90</v>
      </c>
      <c r="E27" s="55">
        <f>-E20*(E26)</f>
        <v>-90</v>
      </c>
      <c r="F27" s="55">
        <f>-F20*(F26)</f>
        <v>-90</v>
      </c>
      <c r="G27" s="55"/>
      <c r="H27" s="55">
        <f>-H20*(H26)</f>
        <v>0</v>
      </c>
      <c r="I27" s="55">
        <f>-I20*(I26)</f>
        <v>0</v>
      </c>
      <c r="J27" s="55">
        <f>-J20*(J26)</f>
        <v>0</v>
      </c>
      <c r="O27" s="27"/>
    </row>
    <row r="28" spans="1:15" ht="12.75" hidden="1">
      <c r="A28" s="51" t="s">
        <v>54</v>
      </c>
      <c r="C28" s="34"/>
      <c r="D28" s="73">
        <f>IF('מושלם לבית '!$C$20='מושלם לבית '!$B$110,0,'מושלם לבית '!$C$20*D15)</f>
        <v>0</v>
      </c>
      <c r="E28" s="55">
        <f>IF('מושלם לבית '!$C$20='מושלם לבית '!$B$110,0,'מושלם לבית '!$C$20*E15)</f>
        <v>0</v>
      </c>
      <c r="F28" s="55">
        <f>IF('מושלם לבית '!$C$20='מושלם לבית '!$B$110,0,'מושלם לבית '!$C$20*F15)</f>
        <v>0</v>
      </c>
      <c r="G28" s="55"/>
      <c r="H28" s="55">
        <f>IF('מושלם לבית '!$C$20='מושלם לבית '!$B$110,0,'מושלם לבית '!$C$20*H15)</f>
        <v>0</v>
      </c>
      <c r="I28" s="55">
        <f>IF('מושלם לבית '!$C$20='מושלם לבית '!$B$110,0,'מושלם לבית '!$C$20*I15)</f>
        <v>0</v>
      </c>
      <c r="J28" s="55">
        <f>IF('מושלם לבית '!$C$20='מושלם לבית '!$B$110,0,'מושלם לבית '!$C$20*J15)</f>
        <v>0</v>
      </c>
      <c r="O28" s="27"/>
    </row>
    <row r="29" spans="1:15" ht="12.75" hidden="1">
      <c r="A29" t="s">
        <v>31</v>
      </c>
      <c r="C29" s="34"/>
      <c r="D29" s="28">
        <f>IF('מושלם לבית '!$C$19='מושלם לבית '!$B$110,0,IF('מושלם לבית '!$C$19='מושלם לבית '!$A$70,0,IF(D26&gt;0,$B$4*D14*VLOOKUP('מושלם לבית '!$B$19,'מושלם לבית '!$A$105:$B$108,2,0),0)))</f>
        <v>0</v>
      </c>
      <c r="E29" s="27">
        <f>IF('מושלם לבית '!$C$19='מושלם לבית '!$B$110,0,IF('מושלם לבית '!$C$19='מושלם לבית '!$A$70,0,IF(E26&gt;0,$B$4*E14*VLOOKUP('מושלם לבית '!$B$19,'מושלם לבית '!$A$105:$B$108,2,0),0)))</f>
        <v>0</v>
      </c>
      <c r="F29" s="27">
        <f>IF('מושלם לבית '!$C$19='מושלם לבית '!$B$110,0,IF('מושלם לבית '!$C$19='מושלם לבית '!$A$70,0,IF(F26&gt;0,$B$4*F14*VLOOKUP('מושלם לבית '!$B$19,'מושלם לבית '!$A$105:$B$108,2,0),0)))</f>
        <v>0</v>
      </c>
      <c r="G29" s="27"/>
      <c r="H29" s="27">
        <f>IF('מושלם לבית '!$C$19='מושלם לבית '!$B$110,0,IF('מושלם לבית '!$C$19='מושלם לבית '!$A$70,0,IF(H26&gt;0,$B$4*H14*VLOOKUP('מושלם לבית '!$B$19,'מושלם לבית '!$A$105:$B$108,2,0),0)))</f>
        <v>0</v>
      </c>
      <c r="I29" s="27">
        <f>IF('מושלם לבית '!$C$19='מושלם לבית '!$B$110,0,IF('מושלם לבית '!$C$19='מושלם לבית '!$A$70,0,IF(I26&gt;0,$B$4*I14*VLOOKUP('מושלם לבית '!$B$19,'מושלם לבית '!$A$105:$B$108,2,0),0)))</f>
        <v>0</v>
      </c>
      <c r="J29" s="27">
        <f>IF('מושלם לבית '!$C$19='מושלם לבית '!$B$110,0,IF('מושלם לבית '!$C$19='מושלם לבית '!$A$70,0,IF(J26&gt;0,$B$4*J14*VLOOKUP('מושלם לבית '!$B$19,'מושלם לבית '!$A$105:$B$108,2,0),0)))</f>
        <v>0</v>
      </c>
      <c r="O29" s="27"/>
    </row>
    <row r="30" spans="1:15" ht="12.75" hidden="1">
      <c r="A30" t="s">
        <v>1</v>
      </c>
      <c r="C30" s="27"/>
      <c r="D30" s="28">
        <f>IF('מושלם לבית '!$C$15='מושלם לבית '!$A$70,0,IF('מושלם לבית '!$C$15='מושלם לבית '!$A$71,IF(D26&gt;0,MIN(MAX($B$4*0.001,'מושלם לבית '!$C$46),'מושלם לבית '!$C$47),0),IF(D26&gt;0,'מושלם לבית '!$C$45,0)))</f>
        <v>281</v>
      </c>
      <c r="E30" s="27">
        <f>IF('מושלם לבית '!$C$15='מושלם לבית '!$A$70,0,IF('מושלם לבית '!$C$15='מושלם לבית '!$A$71,IF(E26&gt;0,MIN(MAX($B$4*0.001,'מושלם לבית '!$C$46),'מושלם לבית '!$C$47),0),IF(E26&gt;0,'מושלם לבית '!$C$45,0)))</f>
        <v>281</v>
      </c>
      <c r="F30" s="27">
        <f>IF('מושלם לבית '!$C$15='מושלם לבית '!$A$70,0,IF('מושלם לבית '!$C$15='מושלם לבית '!$A$71,IF(F26&gt;0,MIN(MAX($B$4*0.001,'מושלם לבית '!$C$46),'מושלם לבית '!$C$47),0),IF(F26&gt;0,'מושלם לבית '!$C$45,0)))</f>
        <v>281</v>
      </c>
      <c r="G30" s="27"/>
      <c r="H30" s="27">
        <f>IF('מושלם לבית '!$C$15='מושלם לבית '!$A$70,0,IF('מושלם לבית '!$C$15='מושלם לבית '!$A$71,IF(H26&gt;0,MIN(MAX($B$4*0.001,'מושלם לבית '!$C$46),'מושלם לבית '!$C$47),0),IF(H26&gt;0,'מושלם לבית '!$C$45,0)))</f>
        <v>281</v>
      </c>
      <c r="I30" s="27">
        <f>IF('מושלם לבית '!$C$15='מושלם לבית '!$A$70,0,IF('מושלם לבית '!$C$15='מושלם לבית '!$A$71,IF(I26&gt;0,MIN(MAX($B$4*0.001,'מושלם לבית '!$C$46),'מושלם לבית '!$C$47),0),IF(I26&gt;0,'מושלם לבית '!$C$45,0)))</f>
        <v>281</v>
      </c>
      <c r="J30" s="27">
        <f>IF('מושלם לבית '!$C$15='מושלם לבית '!$A$70,0,IF('מושלם לבית '!$C$15='מושלם לבית '!$A$71,IF(J26&gt;0,MIN(MAX($B$4*0.001,'מושלם לבית '!$C$46),'מושלם לבית '!$C$47),0),IF(J26&gt;0,'מושלם לבית '!$C$45,0)))</f>
        <v>281</v>
      </c>
      <c r="O30" s="27"/>
    </row>
    <row r="31" spans="1:15" ht="12.75" hidden="1">
      <c r="A31" s="56" t="s">
        <v>63</v>
      </c>
      <c r="C31" s="27"/>
      <c r="D31" s="28">
        <f>IF($B$5&gt;0,VLOOKUP('מושלם לבית '!$C$16,'מושלם לבית '!$A$118:$B$120,2,0),0)</f>
        <v>0</v>
      </c>
      <c r="E31" s="27">
        <f>IF($B$5&gt;0,VLOOKUP('מושלם לבית '!$C$16,'מושלם לבית '!$A$118:$B$120,2,0),0)</f>
        <v>0</v>
      </c>
      <c r="F31" s="27">
        <f>IF($B$5&gt;0,VLOOKUP('מושלם לבית '!$C$16,'מושלם לבית '!$A$118:$B$120,2,0),0)</f>
        <v>0</v>
      </c>
      <c r="G31" s="27"/>
      <c r="H31" s="27">
        <f>IF($B$5&gt;0,VLOOKUP('מושלם לבית '!$C$16,'מושלם לבית '!$A$118:$B$120,2,0),0)</f>
        <v>0</v>
      </c>
      <c r="I31" s="27">
        <f>IF($B$5&gt;0,VLOOKUP('מושלם לבית '!$C$16,'מושלם לבית '!$A$118:$B$120,2,0),0)</f>
        <v>0</v>
      </c>
      <c r="J31" s="27">
        <f>IF($B$5&gt;0,VLOOKUP('מושלם לבית '!$C$16,'מושלם לבית '!$A$118:$B$120,2,0),0)</f>
        <v>0</v>
      </c>
      <c r="O31" s="27"/>
    </row>
    <row r="32" spans="1:15" ht="12.75" hidden="1">
      <c r="A32" t="s">
        <v>2</v>
      </c>
      <c r="C32" s="35"/>
      <c r="D32" s="74">
        <f>D5*$B$5</f>
        <v>3000</v>
      </c>
      <c r="E32" s="8">
        <f>E5*$B$5</f>
        <v>3300</v>
      </c>
      <c r="F32" s="8">
        <f>F5*$B$5</f>
        <v>3000</v>
      </c>
      <c r="H32" s="8">
        <f>H5*$B$5</f>
        <v>3000</v>
      </c>
      <c r="I32" s="8">
        <f>I5*$B$5</f>
        <v>3300</v>
      </c>
      <c r="J32" s="8">
        <f>J5*$B$5</f>
        <v>3000</v>
      </c>
      <c r="M32" s="2"/>
      <c r="O32" s="27"/>
    </row>
    <row r="33" spans="1:15" ht="12.75" hidden="1">
      <c r="A33" t="str">
        <f>A16</f>
        <v>הנחת תכולה בניין קומות</v>
      </c>
      <c r="C33" s="27"/>
      <c r="D33" s="28">
        <f>-D16*D32</f>
        <v>-1050</v>
      </c>
      <c r="E33" s="2">
        <f>-E16*E32</f>
        <v>0</v>
      </c>
      <c r="F33" s="28">
        <f>-F16*F32</f>
        <v>0</v>
      </c>
      <c r="H33" s="2">
        <f>-H16*H32</f>
        <v>-1050</v>
      </c>
      <c r="I33" s="2">
        <f>-I16*I32</f>
        <v>0</v>
      </c>
      <c r="J33" s="2">
        <f>-J16*J32</f>
        <v>0</v>
      </c>
      <c r="O33" s="27"/>
    </row>
    <row r="34" spans="1:15" ht="12.75" hidden="1">
      <c r="A34" t="str">
        <f>A21</f>
        <v>הנחה תכולה ר"א</v>
      </c>
      <c r="C34" s="27"/>
      <c r="D34" s="28">
        <f>-D21*(D32+D33)</f>
        <v>-292.5</v>
      </c>
      <c r="E34" s="2">
        <f>-E21*(E32+E33)</f>
        <v>-495</v>
      </c>
      <c r="F34" s="28">
        <f>-F21*(F32+F33)</f>
        <v>-450</v>
      </c>
      <c r="H34" s="2">
        <f>-H21*(H32+H33)</f>
        <v>0</v>
      </c>
      <c r="I34" s="2">
        <f>-I21*(I32+I33)</f>
        <v>0</v>
      </c>
      <c r="J34" s="2">
        <f>-J21*(J32+J33)</f>
        <v>0</v>
      </c>
      <c r="O34" s="27"/>
    </row>
    <row r="35" spans="1:15" ht="12.75" hidden="1">
      <c r="A35" t="str">
        <f>A22</f>
        <v>הנחת תכולה סכום ביטוח תכשיטים</v>
      </c>
      <c r="C35" s="27"/>
      <c r="D35" s="28">
        <f>(D32+D33+D34)*-D22</f>
        <v>-745.875</v>
      </c>
      <c r="E35" s="2">
        <f>(E32+E33+E34)*-E22</f>
        <v>-1262.25</v>
      </c>
      <c r="F35" s="28">
        <f>(F32+F33+F34)*-F22</f>
        <v>-1147.5</v>
      </c>
      <c r="H35" s="2">
        <f>(H32+H33+H34)*-H22</f>
        <v>-877.5</v>
      </c>
      <c r="I35" s="2">
        <f>(I32+I33+I34)*-I22</f>
        <v>-1485</v>
      </c>
      <c r="J35" s="2">
        <f>(J32+J33+J34)*-J22</f>
        <v>-1350</v>
      </c>
      <c r="O35" s="27"/>
    </row>
    <row r="36" spans="1:15" ht="12.75" hidden="1">
      <c r="A36" t="s">
        <v>29</v>
      </c>
      <c r="C36" s="27"/>
      <c r="D36" s="28">
        <f>'מושלם לבית '!$C$23*0.1</f>
        <v>0</v>
      </c>
      <c r="E36" s="28">
        <f>'מושלם לבית '!$C$23*0.1</f>
        <v>0</v>
      </c>
      <c r="F36" s="28">
        <f>'מושלם לבית '!$C$23*0.1</f>
        <v>0</v>
      </c>
      <c r="G36" s="28"/>
      <c r="H36" s="28">
        <f>'מושלם לבית '!$C$23*0.1</f>
        <v>0</v>
      </c>
      <c r="I36" s="28">
        <f>'מושלם לבית '!$C$23*0.1</f>
        <v>0</v>
      </c>
      <c r="J36" s="28">
        <f>'מושלם לבית '!$C$23*0.1</f>
        <v>0</v>
      </c>
      <c r="O36" s="27"/>
    </row>
    <row r="37" spans="1:15" ht="12.75" hidden="1">
      <c r="A37" s="51" t="s">
        <v>59</v>
      </c>
      <c r="C37" s="27"/>
      <c r="D37" s="28">
        <f>'מושלם לבית '!$C$24*0.04</f>
        <v>0</v>
      </c>
      <c r="E37" s="28">
        <f>'מושלם לבית '!$C$24*0.04</f>
        <v>0</v>
      </c>
      <c r="F37" s="28">
        <f>'מושלם לבית '!$C$24*0.04</f>
        <v>0</v>
      </c>
      <c r="G37" s="28"/>
      <c r="H37" s="28">
        <f>'מושלם לבית '!$C$24*0.04</f>
        <v>0</v>
      </c>
      <c r="I37" s="28">
        <f>'מושלם לבית '!$C$24*0.04</f>
        <v>0</v>
      </c>
      <c r="J37" s="28">
        <f>'מושלם לבית '!$C$24*0.04</f>
        <v>0</v>
      </c>
      <c r="O37" s="27"/>
    </row>
    <row r="38" spans="1:15" ht="12.75" hidden="1">
      <c r="A38" t="s">
        <v>39</v>
      </c>
      <c r="C38" s="27"/>
      <c r="D38" s="28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E38" s="2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F38" s="28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G38" s="2"/>
      <c r="H38" s="2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I38" s="2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J38" s="2">
        <f>(IF('מושלם לבית '!$A$25='מושלם לבית '!$A$86,'מושלם לבית '!$C$25,0)+IF('מושלם לבית '!$A$26='מושלם לבית '!$A$86,'מושלם לבית '!$C$26,0))*VLOOKUP('מושלם לבית '!$A$86,'מושלם לבית '!$A$85:$B$89,2,0)</f>
        <v>0</v>
      </c>
      <c r="O38" s="27"/>
    </row>
    <row r="39" spans="1:15" ht="12.75" hidden="1">
      <c r="A39" t="s">
        <v>40</v>
      </c>
      <c r="C39" s="27"/>
      <c r="D39" s="28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E39" s="2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F39" s="28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G39" s="2"/>
      <c r="H39" s="2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I39" s="2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J39" s="2">
        <f>(IF('מושלם לבית '!$A$25='מושלם לבית '!$A$87,'מושלם לבית '!$C$25,0)+IF('מושלם לבית '!$A$26='מושלם לבית '!$A$87,'מושלם לבית '!$C$26,0))*VLOOKUP('מושלם לבית '!$A$87,'מושלם לבית '!$A$85:$B$89,2,0)</f>
        <v>0</v>
      </c>
      <c r="O39" s="27"/>
    </row>
    <row r="40" spans="1:15" ht="12.75" hidden="1">
      <c r="A40" t="s">
        <v>72</v>
      </c>
      <c r="C40" s="27"/>
      <c r="D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E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F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G40" s="28"/>
      <c r="H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I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J40" s="28">
        <f>(IF('מושלם לבית '!$A$25='מושלם לבית '!$A$88,'מושלם לבית '!$C$25,0)+IF('מושלם לבית '!$A$26='מושלם לבית '!$A$88,'מושלם לבית '!$C$26,0))*VLOOKUP('מושלם לבית '!$A$88,'מושלם לבית '!$A$85:$B$89,2,0)</f>
        <v>0</v>
      </c>
      <c r="O40" s="27"/>
    </row>
    <row r="41" spans="1:10" ht="12.75" hidden="1">
      <c r="A41" t="s">
        <v>41</v>
      </c>
      <c r="C41" s="27"/>
      <c r="D41" s="28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  <c r="E41" s="2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  <c r="F41" s="28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  <c r="G41" s="2"/>
      <c r="H41" s="2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  <c r="I41" s="2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  <c r="J41" s="2">
        <f>(IF('מושלם לבית '!$A$25='מושלם לבית '!$A$89,'מושלם לבית '!$C$25,0)+IF('מושלם לבית '!$A$26='מושלם לבית '!$A$89,'מושלם לבית '!$C$26,0))*VLOOKUP('מושלם לבית '!$A$89,'מושלם לבית '!$A$85:$B$89,2,0)</f>
        <v>0</v>
      </c>
    </row>
    <row r="42" spans="1:10" ht="12.75" hidden="1">
      <c r="A42" t="s">
        <v>45</v>
      </c>
      <c r="C42" s="36"/>
      <c r="D42" s="28">
        <f>IF($B$7&gt;120000,($B$7-120000)*0.02+60000*0.03+60000*0.04,IF($B$7&gt;60000,($B$7-60000)*0.03+60000*0.04,$B$7*0.04))</f>
        <v>0</v>
      </c>
      <c r="E42" s="28">
        <f aca="true" t="shared" si="0" ref="E42:J42">IF($B$7&gt;120000,($B$7-120000)*0.02+60000*0.03+60000*0.04,IF($B$7&gt;60000,($B$7-60000)*0.03+60000*0.04,$B$7*0.04))</f>
        <v>0</v>
      </c>
      <c r="F42" s="28">
        <f t="shared" si="0"/>
        <v>0</v>
      </c>
      <c r="G42" s="28"/>
      <c r="H42" s="28">
        <f t="shared" si="0"/>
        <v>0</v>
      </c>
      <c r="I42" s="28">
        <f t="shared" si="0"/>
        <v>0</v>
      </c>
      <c r="J42" s="28">
        <f t="shared" si="0"/>
        <v>0</v>
      </c>
    </row>
    <row r="43" spans="1:13" ht="12.75" hidden="1">
      <c r="A43" s="72" t="str">
        <f>A17</f>
        <v>הנחה מיוחדת</v>
      </c>
      <c r="C43" s="27"/>
      <c r="D43" s="28">
        <f>-D17*(D32+D33+D34+D35)</f>
        <v>-319.06874999999997</v>
      </c>
      <c r="E43" s="28">
        <f>-E17*(E32+E33+E34+E35)</f>
        <v>-539.9625</v>
      </c>
      <c r="F43" s="28">
        <f>-F17*(F32+F33+F34+F35)</f>
        <v>-490.87499999999994</v>
      </c>
      <c r="G43" s="28"/>
      <c r="H43" s="28">
        <f>-H17*(H32+H33+H34+H35)</f>
        <v>-375.375</v>
      </c>
      <c r="I43" s="28">
        <f>-I17*(I32+I33+I34+I35)</f>
        <v>-635.25</v>
      </c>
      <c r="J43" s="28">
        <f>-J17*(J32+J33+J34+J35)</f>
        <v>-577.5</v>
      </c>
      <c r="K43" s="2"/>
      <c r="M43" s="2"/>
    </row>
    <row r="44" spans="1:11" ht="12.75" hidden="1">
      <c r="A44" t="str">
        <f>A18</f>
        <v>הנחה מיוחדת על חשבון עמלה</v>
      </c>
      <c r="C44" s="27"/>
      <c r="D44" s="28">
        <f>-D18*(D32+D34+D35+D33+D43)</f>
        <v>-118.51125000000002</v>
      </c>
      <c r="E44" s="28">
        <f aca="true" t="shared" si="1" ref="E44:J44">-E18*(E32+E34+E35+E33+E43)</f>
        <v>-200.5575</v>
      </c>
      <c r="F44" s="28">
        <f t="shared" si="1"/>
        <v>-182.32500000000002</v>
      </c>
      <c r="G44" s="28"/>
      <c r="H44" s="28">
        <f t="shared" si="1"/>
        <v>-139.425</v>
      </c>
      <c r="I44" s="28">
        <f t="shared" si="1"/>
        <v>-235.95000000000002</v>
      </c>
      <c r="J44" s="28">
        <f t="shared" si="1"/>
        <v>-214.5</v>
      </c>
      <c r="K44" s="2"/>
    </row>
    <row r="45" spans="1:11" ht="12.75" hidden="1">
      <c r="A45" t="s">
        <v>21</v>
      </c>
      <c r="C45" s="27"/>
      <c r="D45" s="28">
        <f>IF(D44&lt;0,IF((D32&gt;0),(-D19*(D32+D35+D34+D44+D33+D43)),0),0)</f>
        <v>-142.2135</v>
      </c>
      <c r="E45" s="28">
        <f aca="true" t="shared" si="2" ref="E45:J45">IF(E44&lt;0,IF((E32&gt;0),(-E19*(E32+E35+E34+E44+E33+E43)),0),0)</f>
        <v>-240.66900000000004</v>
      </c>
      <c r="F45" s="28">
        <f t="shared" si="2"/>
        <v>-218.79</v>
      </c>
      <c r="G45" s="28"/>
      <c r="H45" s="28">
        <f t="shared" si="2"/>
        <v>-167.31</v>
      </c>
      <c r="I45" s="28">
        <f t="shared" si="2"/>
        <v>-283.14</v>
      </c>
      <c r="J45" s="28">
        <f t="shared" si="2"/>
        <v>-257.4</v>
      </c>
      <c r="K45" s="2"/>
    </row>
    <row r="46" spans="1:10" ht="12.75" hidden="1">
      <c r="A46" t="s">
        <v>69</v>
      </c>
      <c r="C46" s="27"/>
      <c r="D46" s="28">
        <f>IF('מושלם לבית '!$C$13='מושלם לבית '!$A$69,'בסיס דירה'!$B$12*'בסיס דירה'!D12+'בסיס דירה'!$B$13*'בסיס דירה'!D13+$B$15*D12,0)</f>
        <v>0</v>
      </c>
      <c r="E46" s="28">
        <f>IF('מושלם לבית '!$C$13='מושלם לבית '!$A$69,'בסיס דירה'!$B$12*'בסיס דירה'!E12+'בסיס דירה'!$B$13*'בסיס דירה'!E13+$B$15*E12,0)</f>
        <v>0</v>
      </c>
      <c r="F46" s="28">
        <f>IF('מושלם לבית '!$C$13='מושלם לבית '!$A$69,'בסיס דירה'!$B$12*'בסיס דירה'!F12+'בסיס דירה'!$B$13*'בסיס דירה'!F13+$B$15*F12,0)</f>
        <v>0</v>
      </c>
      <c r="G46" s="28"/>
      <c r="H46" s="28">
        <f>IF('מושלם לבית '!$C$13='מושלם לבית '!$A$69,'בסיס דירה'!$B$12*'בסיס דירה'!H12+'בסיס דירה'!$B$13*'בסיס דירה'!H13+$B$15*H12,0)</f>
        <v>0</v>
      </c>
      <c r="I46" s="28">
        <f>IF('מושלם לבית '!$C$13='מושלם לבית '!$A$69,'בסיס דירה'!$B$12*'בסיס דירה'!I12+'בסיס דירה'!$B$13*'בסיס דירה'!I13+$B$15*I12,0)</f>
        <v>0</v>
      </c>
      <c r="J46" s="28">
        <f>IF('מושלם לבית '!$C$13='מושלם לבית '!$A$69,'בסיס דירה'!$B$12*'בסיס דירה'!J12+'בסיס דירה'!$B$13*'בסיס דירה'!J13+$B$15*J12,0)</f>
        <v>0</v>
      </c>
    </row>
    <row r="47" spans="1:10" ht="12" customHeight="1" hidden="1">
      <c r="A47" t="s">
        <v>17</v>
      </c>
      <c r="C47" s="27"/>
      <c r="D47" s="28">
        <f>IF(AND($B$5=0,D48=0,'מושלם לבית '!$C$17="כיסוי תמורת פרמיה"),'מושלם לבית '!$C$49,IF('מושלם לבית '!$C$18="כיסוי תמורת פרמיה",'מושלם לבית '!$C$49,0))</f>
        <v>0</v>
      </c>
      <c r="E47" s="28">
        <f>IF(AND($B$5=0,E48=0,'מושלם לבית '!$C$17="כיסוי תמורת פרמיה"),'מושלם לבית '!$C$49,IF('מושלם לבית '!$C$18="כיסוי תמורת פרמיה",'מושלם לבית '!$C$49,0))</f>
        <v>0</v>
      </c>
      <c r="F47" s="28">
        <f>IF(AND($B$5=0,F48=0,'מושלם לבית '!$C$17="כיסוי תמורת פרמיה"),'מושלם לבית '!$C$49,IF('מושלם לבית '!$C$18="כיסוי תמורת פרמיה",'מושלם לבית '!$C$49,0))</f>
        <v>0</v>
      </c>
      <c r="G47" s="28"/>
      <c r="H47" s="28">
        <f>IF(AND($B$5=0,H48=0,'מושלם לבית '!$C$17="כיסוי תמורת פרמיה"),'מושלם לבית '!$C$49,IF('מושלם לבית '!$C$18="כיסוי תמורת פרמיה",'מושלם לבית '!$C$49,0))</f>
        <v>0</v>
      </c>
      <c r="I47" s="28">
        <f>IF(AND($B$5=0,I48=0,'מושלם לבית '!$C$17="כיסוי תמורת פרמיה"),'מושלם לבית '!$C$49,IF('מושלם לבית '!$C$18="כיסוי תמורת פרמיה",'מושלם לבית '!$C$49,0))</f>
        <v>0</v>
      </c>
      <c r="J47" s="28">
        <f>IF(AND($B$5=0,J48=0,'מושלם לבית '!$C$17="כיסוי תמורת פרמיה"),'מושלם לבית '!$C$49,IF('מושלם לבית '!$C$18="כיסוי תמורת פרמיה",'מושלם לבית '!$C$49,0))</f>
        <v>0</v>
      </c>
    </row>
    <row r="48" spans="1:13" ht="12.75" hidden="1">
      <c r="A48" t="s">
        <v>8</v>
      </c>
      <c r="C48" s="27"/>
      <c r="D48" s="28">
        <f>IF('מושלם לבית '!$C$14='מושלם לבית '!$A$70,0,IF(($B$4+$B$5+$B$15)&gt;0,($B$4+$B$5+$B$15)*D10,0))</f>
        <v>1559.9999999999998</v>
      </c>
      <c r="E48" s="28">
        <f>IF('מושלם לבית '!$C$14='מושלם לבית '!$A$70,0,IF(($B$4+$B$5+$B$15)&gt;0,($B$4+$B$5+$B$15)*E10,0))</f>
        <v>1559.9999999999998</v>
      </c>
      <c r="F48" s="28">
        <f>IF('מושלם לבית '!$C$14='מושלם לבית '!$A$70,0,IF(($B$4+$B$5+$B$15)&gt;0,($B$4+$B$5+$B$15)*F10,0))</f>
        <v>1559.9999999999998</v>
      </c>
      <c r="G48" s="28"/>
      <c r="H48" s="28">
        <f>IF('מושלם לבית '!$C$14='מושלם לבית '!$A$70,0,IF(($B$4+$B$5+$B$15)&gt;0,($B$4+$B$5+$B$15)*H10,0))</f>
        <v>0</v>
      </c>
      <c r="I48" s="28">
        <f>IF('מושלם לבית '!$C$14='מושלם לבית '!$A$70,0,IF(($B$4+$B$5+$B$15)&gt;0,($B$4+$B$5+$B$15)*I10,0))</f>
        <v>0</v>
      </c>
      <c r="J48" s="28">
        <f>IF('מושלם לבית '!$C$14='מושלם לבית '!$A$70,0,IF(($B$4+$B$5+$B$15)&gt;0,($B$4+$B$5+$B$15)*J10,0))</f>
        <v>0</v>
      </c>
      <c r="L48" s="2"/>
      <c r="M48" s="77"/>
    </row>
    <row r="49" spans="1:12" ht="12.75" hidden="1">
      <c r="A49" t="s">
        <v>9</v>
      </c>
      <c r="C49" s="27"/>
      <c r="D49" s="28">
        <f>-D23*D48</f>
        <v>-312</v>
      </c>
      <c r="E49">
        <f>-E23*E48</f>
        <v>-312</v>
      </c>
      <c r="F49" s="27">
        <f>-F23*F48</f>
        <v>-312</v>
      </c>
      <c r="H49">
        <f>-H23*H48</f>
        <v>0</v>
      </c>
      <c r="I49">
        <f>-I23*I48</f>
        <v>0</v>
      </c>
      <c r="J49">
        <f>-J23*J48</f>
        <v>0</v>
      </c>
      <c r="L49" s="2"/>
    </row>
    <row r="50" spans="1:10" ht="12.75" hidden="1">
      <c r="A50" s="16" t="s">
        <v>37</v>
      </c>
      <c r="C50" s="27"/>
      <c r="D50" s="71">
        <f>-((VLOOKUP('מושלם לבית '!$C$21,'מושלם לבית '!$A$78:$B$82,2,0))*(D32+D35+D36+D43+D34+D44+D33+D45+D26+D29+D39+D38+D41+D42+D37+D27+D28))</f>
        <v>0</v>
      </c>
      <c r="E50" s="37">
        <f>-((VLOOKUP('מושלם לבית '!$C$21,'מושלם לבית '!$A$78:$B$82,2,0))*(E32+E35+E36+E43+E34+E44+E33+E45+E26+E29+E39+E38+E41+E42+E37+E27+E28))</f>
        <v>0</v>
      </c>
      <c r="F50" s="37">
        <f>-((VLOOKUP('מושלם לבית '!$C$21,'מושלם לבית '!$A$78:$B$82,2,0))*(F32+F35+F36+F43+F34+F44+F33+F45+F26+F29+F39+F38+F41+F42+F37+F27+F28))</f>
        <v>0</v>
      </c>
      <c r="G50" s="37"/>
      <c r="H50" s="37">
        <f>-((VLOOKUP('מושלם לבית '!$C$21,'מושלם לבית '!$A$78:$B$82,2,0))*(H32+H35+H36+H43+H34+H44+H33+H45+H26+H29+H39+H38+H41+H42+H37+H27+H28))</f>
        <v>0</v>
      </c>
      <c r="I50" s="37">
        <f>-((VLOOKUP('מושלם לבית '!$C$21,'מושלם לבית '!$A$78:$B$82,2,0))*(I32+I35+I36+I43+I34+I44+I33+I45+I26+I29+I39+I38+I41+I42+I37+I27+I28))</f>
        <v>0</v>
      </c>
      <c r="J50" s="37">
        <f>-((VLOOKUP('מושלם לבית '!$C$21,'מושלם לבית '!$A$78:$B$82,2,0))*(J32+J35+J36+J43+J34+J44+J33+J45+J26+J29+J39+J38+J41+J42+J37+J27+J28))</f>
        <v>0</v>
      </c>
    </row>
    <row r="51" spans="1:10" ht="12.75" hidden="1">
      <c r="A51" s="16"/>
      <c r="C51" s="27"/>
      <c r="D51" s="37"/>
      <c r="E51" s="37"/>
      <c r="F51" s="37"/>
      <c r="G51" s="37"/>
      <c r="H51" s="37"/>
      <c r="I51" s="37"/>
      <c r="J51" s="37"/>
    </row>
    <row r="52" spans="1:10" ht="12.75" hidden="1">
      <c r="A52" s="16" t="s">
        <v>46</v>
      </c>
      <c r="C52" s="27"/>
      <c r="D52" s="37">
        <f>IF(((D50+D51)*-1)&gt;VLOOKUP('מושלם לבית '!$C$21,'מושלם לבית '!$A$78:$D$82,4,0),(VLOOKUP('מושלם לבית '!$C$21,'מושלם לבית '!$A$78:$D$82,4,0)+D51+D50)*-1,0)</f>
        <v>0</v>
      </c>
      <c r="E52" s="37">
        <f>IF(((E50+E51)*-1)&gt;VLOOKUP('מושלם לבית '!$C$21,'מושלם לבית '!$A$78:$D$82,4,0),(VLOOKUP('מושלם לבית '!$C$21,'מושלם לבית '!$A$78:$D$82,4,0)+E51+E50)*-1,0)</f>
        <v>0</v>
      </c>
      <c r="F52" s="37">
        <f>IF(((F50+F51)*-1)&gt;VLOOKUP('מושלם לבית '!$C$21,'מושלם לבית '!$A$78:$D$82,4,0),(VLOOKUP('מושלם לבית '!$C$21,'מושלם לבית '!$A$78:$D$82,4,0)+F51+F50)*-1,0)</f>
        <v>0</v>
      </c>
      <c r="G52" s="37"/>
      <c r="H52" s="37">
        <f>IF(((H50+H51)*-1)&gt;VLOOKUP('מושלם לבית '!$C$21,'מושלם לבית '!$A$78:$D$82,4,0),(VLOOKUP('מושלם לבית '!$C$21,'מושלם לבית '!$A$78:$D$82,4,0)+H51+H50)*-1,0)</f>
        <v>0</v>
      </c>
      <c r="I52" s="37">
        <f>IF(((I50+I51)*-1)&gt;VLOOKUP('מושלם לבית '!$C$21,'מושלם לבית '!$A$78:$D$82,4,0),(VLOOKUP('מושלם לבית '!$C$21,'מושלם לבית '!$A$78:$D$82,4,0)+I51+I50)*-1,0)</f>
        <v>0</v>
      </c>
      <c r="J52" s="37">
        <f>IF(((J50+J51)*-1)&gt;VLOOKUP('מושלם לבית '!$C$21,'מושלם לבית '!$A$78:$D$82,4,0),(VLOOKUP('מושלם לבית '!$C$21,'מושלם לבית '!$A$78:$D$82,4,0)+J51+J50)*-1,0)</f>
        <v>0</v>
      </c>
    </row>
    <row r="53" spans="1:12" ht="12.75" hidden="1">
      <c r="A53" s="16" t="s">
        <v>10</v>
      </c>
      <c r="D53" s="28">
        <f>IF(D8-(D26+D32+D33+D34+D35+D36+D38+D39+D41+D42+D43+D44+D45+D50+D51+D27+D37+D40+D28)&gt;0,D8-(D26+D32+D33+D34+D35+D36+D38+D39+D41+D42+D43+D44+D45+D50+D51+D27+D37+D40+D28),0)</f>
        <v>0</v>
      </c>
      <c r="E53" s="28">
        <f aca="true" t="shared" si="3" ref="E53:J53">IF(E8-(E26+E32+E33+E34+E35+E36+E38+E39+E41+E42+E43+E44+E45+E50+E51+E27+E37+E40+E28)&gt;0,E8-(E26+E32+E33+E34+E35+E36+E38+E39+E41+E42+E43+E44+E45+E50+E51+E27+E37+E40+E28),0)</f>
        <v>0</v>
      </c>
      <c r="F53" s="28">
        <f t="shared" si="3"/>
        <v>0</v>
      </c>
      <c r="G53" s="28"/>
      <c r="H53" s="28">
        <f t="shared" si="3"/>
        <v>0</v>
      </c>
      <c r="I53" s="28">
        <f t="shared" si="3"/>
        <v>0</v>
      </c>
      <c r="J53" s="28">
        <f t="shared" si="3"/>
        <v>0</v>
      </c>
      <c r="K53" s="2"/>
      <c r="L53" s="2"/>
    </row>
    <row r="54" spans="4:10" ht="13.5" hidden="1" thickBot="1">
      <c r="D54" s="38">
        <f>SUM(D26:D53)+1</f>
        <v>2221.8315</v>
      </c>
      <c r="E54" s="7">
        <f>SUM(E26:E53)+1</f>
        <v>2451.5609999999997</v>
      </c>
      <c r="F54" s="38">
        <f>SUM(F26:F53)+1</f>
        <v>2400.5099999999998</v>
      </c>
      <c r="H54" s="7">
        <f>SUM(H26:H53)+1</f>
        <v>1122.39</v>
      </c>
      <c r="I54" s="7">
        <f>SUM(I26:I53)+1</f>
        <v>1392.6599999999999</v>
      </c>
      <c r="J54" s="7">
        <f>SUM(J26:J53)+1</f>
        <v>1332.6</v>
      </c>
    </row>
    <row r="55" ht="13.5" hidden="1" thickTop="1"/>
    <row r="56" spans="4:10" ht="12.75" hidden="1">
      <c r="D56" s="28">
        <f>D54-D45</f>
        <v>2364.0449999999996</v>
      </c>
      <c r="E56" s="2">
        <f aca="true" t="shared" si="4" ref="E56:J56">E54-E45</f>
        <v>2692.2299999999996</v>
      </c>
      <c r="F56" s="28">
        <f t="shared" si="4"/>
        <v>2619.2999999999997</v>
      </c>
      <c r="G56" s="2"/>
      <c r="H56" s="2">
        <f t="shared" si="4"/>
        <v>1289.7</v>
      </c>
      <c r="I56" s="2">
        <f t="shared" si="4"/>
        <v>1675.7999999999997</v>
      </c>
      <c r="J56" s="2">
        <f t="shared" si="4"/>
        <v>1590</v>
      </c>
    </row>
    <row r="57" spans="4:10" ht="12.75" hidden="1">
      <c r="D57" s="28"/>
      <c r="E57" s="2"/>
      <c r="F57" s="28"/>
      <c r="G57" s="2"/>
      <c r="H57" s="2"/>
      <c r="I57" s="2"/>
      <c r="J57" s="2"/>
    </row>
    <row r="58" spans="4:10" ht="12.75" hidden="1">
      <c r="D58" s="76">
        <f>D54+315</f>
        <v>2536.8315</v>
      </c>
      <c r="E58" s="2">
        <f>E56-E43</f>
        <v>3232.1924999999997</v>
      </c>
      <c r="F58" s="28"/>
      <c r="G58" s="2"/>
      <c r="H58" s="2"/>
      <c r="I58" s="2"/>
      <c r="J58" s="2"/>
    </row>
    <row r="59" spans="4:10" ht="12.75" hidden="1">
      <c r="D59" s="28"/>
      <c r="E59" s="2"/>
      <c r="F59" s="28"/>
      <c r="G59" s="2"/>
      <c r="H59" s="2"/>
      <c r="I59" s="2"/>
      <c r="J59" s="2"/>
    </row>
    <row r="60" spans="4:10" ht="12.75" hidden="1">
      <c r="D60" s="28"/>
      <c r="E60" s="2"/>
      <c r="F60" s="28"/>
      <c r="G60" s="2"/>
      <c r="H60" s="2"/>
      <c r="I60" s="2"/>
      <c r="J60" s="2"/>
    </row>
    <row r="61" ht="12.75" hidden="1">
      <c r="A61" s="16" t="s">
        <v>46</v>
      </c>
    </row>
    <row r="62" spans="1:10" ht="12.75" hidden="1">
      <c r="A62" t="s">
        <v>47</v>
      </c>
      <c r="D62" s="28">
        <f>D51+D50</f>
        <v>0</v>
      </c>
      <c r="E62" s="28">
        <f aca="true" t="shared" si="5" ref="E62:J62">E51+E50</f>
        <v>0</v>
      </c>
      <c r="F62" s="28">
        <f t="shared" si="5"/>
        <v>0</v>
      </c>
      <c r="G62" s="28"/>
      <c r="H62" s="28">
        <f t="shared" si="5"/>
        <v>0</v>
      </c>
      <c r="I62" s="28">
        <f t="shared" si="5"/>
        <v>0</v>
      </c>
      <c r="J62" s="28">
        <f t="shared" si="5"/>
        <v>0</v>
      </c>
    </row>
    <row r="63" spans="1:10" ht="12.75" hidden="1">
      <c r="A63" t="s">
        <v>48</v>
      </c>
      <c r="D63" s="27">
        <f>VLOOKUP('מושלם לבית '!$C$21,'מושלם לבית '!$A$78:$D$82,4,0)</f>
        <v>0</v>
      </c>
      <c r="E63" s="27">
        <f>VLOOKUP('מושלם לבית '!$C$21,'מושלם לבית '!$A$78:$D$82,4,0)</f>
        <v>0</v>
      </c>
      <c r="F63" s="27">
        <f>VLOOKUP('מושלם לבית '!$C$21,'מושלם לבית '!$A$78:$D$82,4,0)</f>
        <v>0</v>
      </c>
      <c r="G63" s="27"/>
      <c r="H63" s="27">
        <f>VLOOKUP('מושלם לבית '!$C$21,'מושלם לבית '!$A$78:$D$82,4,0)</f>
        <v>0</v>
      </c>
      <c r="I63" s="27">
        <f>VLOOKUP('מושלם לבית '!$C$21,'מושלם לבית '!$A$78:$D$82,4,0)</f>
        <v>0</v>
      </c>
      <c r="J63" s="27">
        <f>VLOOKUP('מושלם לבית '!$C$21,'מושלם לבית '!$A$78:$D$82,4,0)</f>
        <v>0</v>
      </c>
    </row>
    <row r="64" spans="1:10" ht="12.75" hidden="1">
      <c r="A64" t="s">
        <v>49</v>
      </c>
      <c r="D64" s="28">
        <f>(D62+D63)*-1</f>
        <v>0</v>
      </c>
      <c r="E64" s="28">
        <f aca="true" t="shared" si="6" ref="E64:J64">(E62+E63)*-1</f>
        <v>0</v>
      </c>
      <c r="F64" s="28">
        <f t="shared" si="6"/>
        <v>0</v>
      </c>
      <c r="G64" s="28"/>
      <c r="H64" s="28">
        <f t="shared" si="6"/>
        <v>0</v>
      </c>
      <c r="I64" s="28">
        <f t="shared" si="6"/>
        <v>0</v>
      </c>
      <c r="J64" s="28">
        <f t="shared" si="6"/>
        <v>0</v>
      </c>
    </row>
    <row r="65" ht="12.75" hidden="1"/>
    <row r="66" ht="12.75" hidden="1"/>
    <row r="67" ht="13.5" customHeight="1" hidden="1"/>
    <row r="68" ht="13.5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sheetProtection password="DC6F" sheet="1" selectLockedCells="1" selectUnlockedCells="1"/>
  <mergeCells count="2">
    <mergeCell ref="H2:J2"/>
    <mergeCell ref="D2:F2"/>
  </mergeCells>
  <conditionalFormatting sqref="A61 A52">
    <cfRule type="cellIs" priority="1" dxfId="1" operator="lessThanOrEqual" stopIfTrue="1">
      <formula>"$C$26=&gt;0"</formula>
    </cfRule>
    <cfRule type="cellIs" priority="2" dxfId="0" operator="greaterThan" stopIfTrue="1">
      <formula>"$C$26&lt;0"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Eliahu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dvira</dc:creator>
  <cp:keywords/>
  <dc:description>מטוסים</dc:description>
  <cp:lastModifiedBy>user</cp:lastModifiedBy>
  <cp:lastPrinted>2013-11-12T15:00:50Z</cp:lastPrinted>
  <dcterms:created xsi:type="dcterms:W3CDTF">2010-05-16T10:49:41Z</dcterms:created>
  <dcterms:modified xsi:type="dcterms:W3CDTF">2013-11-12T15:03:01Z</dcterms:modified>
  <cp:category/>
  <cp:version/>
  <cp:contentType/>
  <cp:contentStatus/>
</cp:coreProperties>
</file>